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IFERROR(__xludf.DUMMYFUNCTION("""COMPUTED_VALUE"""),273.0)</f>
        <v>273</v>
      </c>
      <c r="C3" s="4"/>
      <c r="D3" s="5" t="str">
        <f>IFERROR(__xludf.DUMMYFUNCTION("""COMPUTED_VALUE"""),"CASH")</f>
        <v>CASH</v>
      </c>
      <c r="E3" s="7">
        <f>IFERROR(__xludf.DUMMYFUNCTION("""COMPUTED_VALUE"""),270134.81)</f>
        <v>270134.81</v>
      </c>
      <c r="F3" s="4"/>
      <c r="G3" s="5" t="str">
        <f>IFERROR(__xludf.DUMMYFUNCTION("""COMPUTED_VALUE"""),"KIA MOTORS FINANCE")</f>
        <v>KIA MOTORS FINANCE</v>
      </c>
      <c r="H3" s="7">
        <f>IFERROR(__xludf.DUMMYFUNCTION("""COMPUTED_VALUE"""),459239.9)</f>
        <v>459239.9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IFERROR(__xludf.DUMMYFUNCTION("""COMPUTED_VALUE"""),214.0)</f>
        <v>214</v>
      </c>
      <c r="C4" s="4"/>
      <c r="D4" s="5" t="str">
        <f>IFERROR(__xludf.DUMMYFUNCTION("""COMPUTED_VALUE"""),"CAPITAL ONE")</f>
        <v>CAPITAL ONE</v>
      </c>
      <c r="E4" s="7">
        <f>IFERROR(__xludf.DUMMYFUNCTION("""COMPUTED_VALUE"""),90366.06)</f>
        <v>90366.06</v>
      </c>
      <c r="F4" s="4"/>
      <c r="G4" s="5" t="str">
        <f>IFERROR(__xludf.DUMMYFUNCTION("""COMPUTED_VALUE"""),"NMAC")</f>
        <v>NMAC</v>
      </c>
      <c r="H4" s="7">
        <f>IFERROR(__xludf.DUMMYFUNCTION("""COMPUTED_VALUE"""),409735.25)</f>
        <v>409735.25</v>
      </c>
    </row>
    <row r="5">
      <c r="A5" s="5" t="str">
        <f>IFERROR(__xludf.DUMMYFUNCTION("""COMPUTED_VALUE"""),"NMAC")</f>
        <v>NMAC</v>
      </c>
      <c r="B5" s="6">
        <f>IFERROR(__xludf.DUMMYFUNCTION("""COMPUTED_VALUE"""),181.0)</f>
        <v>181</v>
      </c>
      <c r="C5" s="4"/>
      <c r="D5" s="5" t="str">
        <f>IFERROR(__xludf.DUMMYFUNCTION("""COMPUTED_VALUE"""),"PNC BANK")</f>
        <v>PNC BANK</v>
      </c>
      <c r="E5" s="7">
        <f>IFERROR(__xludf.DUMMYFUNCTION("""COMPUTED_VALUE"""),73957.33)</f>
        <v>73957.33</v>
      </c>
      <c r="F5" s="4"/>
      <c r="G5" s="5" t="str">
        <f>IFERROR(__xludf.DUMMYFUNCTION("""COMPUTED_VALUE"""),"CAPITAL ONE")</f>
        <v>CAPITAL ONE</v>
      </c>
      <c r="H5" s="7">
        <f>IFERROR(__xludf.DUMMYFUNCTION("""COMPUTED_VALUE"""),359612.22000000003)</f>
        <v>359612.22</v>
      </c>
    </row>
    <row r="6">
      <c r="A6" s="5" t="str">
        <f>IFERROR(__xludf.DUMMYFUNCTION("""COMPUTED_VALUE"""),"SANTANDER CONSUMER USA")</f>
        <v>SANTANDER CONSUMER USA</v>
      </c>
      <c r="B6" s="6">
        <f>IFERROR(__xludf.DUMMYFUNCTION("""COMPUTED_VALUE"""),146.0)</f>
        <v>146</v>
      </c>
      <c r="C6" s="4"/>
      <c r="D6" s="5" t="str">
        <f>IFERROR(__xludf.DUMMYFUNCTION("""COMPUTED_VALUE"""),"NMAC")</f>
        <v>NMAC</v>
      </c>
      <c r="E6" s="7">
        <f>IFERROR(__xludf.DUMMYFUNCTION("""COMPUTED_VALUE"""),73654.47000000002)</f>
        <v>73654.47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IFERROR(__xludf.DUMMYFUNCTION("""COMPUTED_VALUE"""),324675.27999999997)</f>
        <v>324675.28</v>
      </c>
    </row>
    <row r="7">
      <c r="A7" s="5" t="str">
        <f>IFERROR(__xludf.DUMMYFUNCTION("""COMPUTED_VALUE"""),"CAPITAL ONE")</f>
        <v>CAPITAL ONE</v>
      </c>
      <c r="B7" s="6">
        <f>IFERROR(__xludf.DUMMYFUNCTION("""COMPUTED_VALUE"""),135.0)</f>
        <v>135</v>
      </c>
      <c r="C7" s="4"/>
      <c r="D7" s="5" t="str">
        <f>IFERROR(__xludf.DUMMYFUNCTION("""COMPUTED_VALUE"""),"ALLY FINANCIAL")</f>
        <v>ALLY FINANCIAL</v>
      </c>
      <c r="E7" s="7">
        <f>IFERROR(__xludf.DUMMYFUNCTION("""COMPUTED_VALUE"""),69000.82)</f>
        <v>69000.82</v>
      </c>
      <c r="F7" s="4"/>
      <c r="G7" s="5" t="str">
        <f>IFERROR(__xludf.DUMMYFUNCTION("""COMPUTED_VALUE"""),"ALLY FINANCIAL")</f>
        <v>ALLY FINANCIAL</v>
      </c>
      <c r="H7" s="7">
        <f>IFERROR(__xludf.DUMMYFUNCTION("""COMPUTED_VALUE"""),264502.44)</f>
        <v>264502.44</v>
      </c>
    </row>
    <row r="8">
      <c r="A8" s="5" t="str">
        <f>IFERROR(__xludf.DUMMYFUNCTION("""COMPUTED_VALUE"""),"ALLY FINANCIAL")</f>
        <v>ALLY FINANCIAL</v>
      </c>
      <c r="B8" s="6">
        <f>IFERROR(__xludf.DUMMYFUNCTION("""COMPUTED_VALUE"""),89.0)</f>
        <v>89</v>
      </c>
      <c r="C8" s="4"/>
      <c r="D8" s="5" t="str">
        <f>IFERROR(__xludf.DUMMYFUNCTION("""COMPUTED_VALUE"""),"REGIONAL ACCEPTANCE CORPORATION")</f>
        <v>REGIONAL ACCEPTANCE CORPORATION</v>
      </c>
      <c r="E8" s="7">
        <f>IFERROR(__xludf.DUMMYFUNCTION("""COMPUTED_VALUE"""),62803.95000000001)</f>
        <v>62803.95</v>
      </c>
      <c r="F8" s="4"/>
      <c r="G8" s="5" t="str">
        <f>IFERROR(__xludf.DUMMYFUNCTION("""COMPUTED_VALUE"""),"TRUIST BANK")</f>
        <v>TRUIST BANK</v>
      </c>
      <c r="H8" s="7">
        <f>IFERROR(__xludf.DUMMYFUNCTION("""COMPUTED_VALUE"""),236466.01)</f>
        <v>236466.01</v>
      </c>
    </row>
    <row r="9">
      <c r="A9" s="5" t="str">
        <f>IFERROR(__xludf.DUMMYFUNCTION("""COMPUTED_VALUE"""),"TRUIST BANK")</f>
        <v>TRUIST BANK</v>
      </c>
      <c r="B9" s="6">
        <f>IFERROR(__xludf.DUMMYFUNCTION("""COMPUTED_VALUE"""),69.0)</f>
        <v>69</v>
      </c>
      <c r="C9" s="4"/>
      <c r="D9" s="5" t="str">
        <f>IFERROR(__xludf.DUMMYFUNCTION("""COMPUTED_VALUE"""),"EASTMAN CU")</f>
        <v>EASTMAN CU</v>
      </c>
      <c r="E9" s="7">
        <f>IFERROR(__xludf.DUMMYFUNCTION("""COMPUTED_VALUE"""),58411.36)</f>
        <v>58411.36</v>
      </c>
      <c r="F9" s="4"/>
      <c r="G9" s="5" t="str">
        <f>IFERROR(__xludf.DUMMYFUNCTION("""COMPUTED_VALUE"""),"TD AUTO FINANCE")</f>
        <v>TD AUTO FINANCE</v>
      </c>
      <c r="H9" s="7">
        <f>IFERROR(__xludf.DUMMYFUNCTION("""COMPUTED_VALUE"""),148325.92)</f>
        <v>148325.92</v>
      </c>
    </row>
    <row r="10">
      <c r="A10" s="5" t="str">
        <f>IFERROR(__xludf.DUMMYFUNCTION("""COMPUTED_VALUE"""),"EXETER FINANCE CORPORATION")</f>
        <v>EXETER FINANCE CORPORATION</v>
      </c>
      <c r="B10" s="6">
        <f>IFERROR(__xludf.DUMMYFUNCTION("""COMPUTED_VALUE"""),64.0)</f>
        <v>64</v>
      </c>
      <c r="C10" s="4"/>
      <c r="D10" s="5" t="str">
        <f>IFERROR(__xludf.DUMMYFUNCTION("""COMPUTED_VALUE"""),"HYUNDAI MOTOR FINANCE")</f>
        <v>HYUNDAI MOTOR FINANCE</v>
      </c>
      <c r="E10" s="7">
        <f>IFERROR(__xludf.DUMMYFUNCTION("""COMPUTED_VALUE"""),57696.93)</f>
        <v>57696.93</v>
      </c>
      <c r="F10" s="4"/>
      <c r="G10" s="5" t="str">
        <f>IFERROR(__xludf.DUMMYFUNCTION("""COMPUTED_VALUE"""),"RED RIVER FCU")</f>
        <v>RED RIVER FCU</v>
      </c>
      <c r="H10" s="7">
        <f>IFERROR(__xludf.DUMMYFUNCTION("""COMPUTED_VALUE"""),128796.97000000002)</f>
        <v>128796.97</v>
      </c>
    </row>
    <row r="11">
      <c r="A11" s="5" t="str">
        <f>IFERROR(__xludf.DUMMYFUNCTION("""COMPUTED_VALUE"""),"TD AUTO FINANCE")</f>
        <v>TD AUTO FINANCE</v>
      </c>
      <c r="B11" s="6">
        <f>IFERROR(__xludf.DUMMYFUNCTION("""COMPUTED_VALUE"""),56.0)</f>
        <v>56</v>
      </c>
      <c r="C11" s="4"/>
      <c r="D11" s="5" t="str">
        <f>IFERROR(__xludf.DUMMYFUNCTION("""COMPUTED_VALUE"""),"GM FINANCIAL SERVICES")</f>
        <v>GM FINANCIAL SERVICES</v>
      </c>
      <c r="E11" s="7">
        <f>IFERROR(__xludf.DUMMYFUNCTION("""COMPUTED_VALUE"""),56264.75)</f>
        <v>56264.75</v>
      </c>
      <c r="F11" s="4"/>
      <c r="G11" s="5" t="str">
        <f>IFERROR(__xludf.DUMMYFUNCTION("""COMPUTED_VALUE"""),"REGIONAL ACCEPTANCE CORPORATION")</f>
        <v>REGIONAL ACCEPTANCE CORPORATION</v>
      </c>
      <c r="H11" s="7">
        <f>IFERROR(__xludf.DUMMYFUNCTION("""COMPUTED_VALUE"""),118950.82000000002)</f>
        <v>118950.82</v>
      </c>
    </row>
    <row r="12">
      <c r="A12" s="8" t="str">
        <f>IFERROR(__xludf.DUMMYFUNCTION("""COMPUTED_VALUE"""),"OSF")</f>
        <v>OSF</v>
      </c>
      <c r="B12" s="9">
        <f>IFERROR(__xludf.DUMMYFUNCTION("""COMPUTED_VALUE"""),56.0)</f>
        <v>56</v>
      </c>
      <c r="C12" s="4"/>
      <c r="D12" s="8" t="str">
        <f>IFERROR(__xludf.DUMMYFUNCTION("""COMPUTED_VALUE"""),"TD AUTO FINANCE")</f>
        <v>TD AUTO FINANCE</v>
      </c>
      <c r="E12" s="10">
        <f>IFERROR(__xludf.DUMMYFUNCTION("""COMPUTED_VALUE"""),44065.56)</f>
        <v>44065.56</v>
      </c>
      <c r="F12" s="4"/>
      <c r="G12" s="8" t="str">
        <f>IFERROR(__xludf.DUMMYFUNCTION("""COMPUTED_VALUE"""),"#N/A")</f>
        <v>#N/A</v>
      </c>
      <c r="H12" s="10">
        <f>IFERROR(__xludf.DUMMYFUNCTION("""COMPUTED_VALUE"""),114782.73999999999)</f>
        <v>114782.74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IFERROR(__xludf.DUMMYFUNCTION("""COMPUTED_VALUE"""),273.0)</f>
        <v>273</v>
      </c>
      <c r="C2" s="17">
        <f>IFERROR(__xludf.DUMMYFUNCTION("""COMPUTED_VALUE"""),989.5)</f>
        <v>989.5</v>
      </c>
      <c r="D2" s="17">
        <f>IFERROR(__xludf.DUMMYFUNCTION("""COMPUTED_VALUE"""),270134.81)</f>
        <v>270134.81</v>
      </c>
      <c r="E2" s="17">
        <f>IFERROR(__xludf.DUMMYFUNCTION("""COMPUTED_VALUE"""),326.72)</f>
        <v>326.72</v>
      </c>
      <c r="F2" s="17">
        <f>IFERROR(__xludf.DUMMYFUNCTION("""COMPUTED_VALUE"""),88868.36)</f>
        <v>88868.36</v>
      </c>
      <c r="G2" s="17">
        <f>IFERROR(__xludf.DUMMYFUNCTION("""COMPUTED_VALUE"""),1319.86)</f>
        <v>1319.86</v>
      </c>
      <c r="H2" s="17">
        <f>IFERROR(__xludf.DUMMYFUNCTION("""COMPUTED_VALUE"""),359003.17)</f>
        <v>359003.17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IFERROR(__xludf.DUMMYFUNCTION("""COMPUTED_VALUE"""),214.0)</f>
        <v>214</v>
      </c>
      <c r="C3" s="17">
        <f>IFERROR(__xludf.DUMMYFUNCTION("""COMPUTED_VALUE"""),-375.66400000000004)</f>
        <v>-375.664</v>
      </c>
      <c r="D3" s="17">
        <f>IFERROR(__xludf.DUMMYFUNCTION("""COMPUTED_VALUE"""),18608.360000000004)</f>
        <v>18608.36</v>
      </c>
      <c r="E3" s="17">
        <f>IFERROR(__xludf.DUMMYFUNCTION("""COMPUTED_VALUE"""),1553.506)</f>
        <v>1553.506</v>
      </c>
      <c r="F3" s="17">
        <f>IFERROR(__xludf.DUMMYFUNCTION("""COMPUTED_VALUE"""),459239.9)</f>
        <v>459239.9</v>
      </c>
      <c r="G3" s="17">
        <f>IFERROR(__xludf.DUMMYFUNCTION("""COMPUTED_VALUE"""),1177.8400000000001)</f>
        <v>1177.84</v>
      </c>
      <c r="H3" s="17">
        <f>IFERROR(__xludf.DUMMYFUNCTION("""COMPUTED_VALUE"""),477848.26)</f>
        <v>477848.26</v>
      </c>
    </row>
    <row r="4">
      <c r="A4" s="15" t="str">
        <f>IFERROR(__xludf.DUMMYFUNCTION("""COMPUTED_VALUE"""),"NMAC")</f>
        <v>NMAC</v>
      </c>
      <c r="B4" s="16">
        <f>IFERROR(__xludf.DUMMYFUNCTION("""COMPUTED_VALUE"""),181.0)</f>
        <v>181</v>
      </c>
      <c r="C4" s="17">
        <f>IFERROR(__xludf.DUMMYFUNCTION("""COMPUTED_VALUE"""),90.94875000000002)</f>
        <v>90.94875</v>
      </c>
      <c r="D4" s="17">
        <f>IFERROR(__xludf.DUMMYFUNCTION("""COMPUTED_VALUE"""),73654.47000000002)</f>
        <v>73654.47</v>
      </c>
      <c r="E4" s="17">
        <f>IFERROR(__xludf.DUMMYFUNCTION("""COMPUTED_VALUE"""),1961.4325)</f>
        <v>1961.4325</v>
      </c>
      <c r="F4" s="17">
        <f>IFERROR(__xludf.DUMMYFUNCTION("""COMPUTED_VALUE"""),409735.25)</f>
        <v>409735.25</v>
      </c>
      <c r="G4" s="17">
        <f>IFERROR(__xludf.DUMMYFUNCTION("""COMPUTED_VALUE"""),2052.38125)</f>
        <v>2052.38125</v>
      </c>
      <c r="H4" s="17">
        <f>IFERROR(__xludf.DUMMYFUNCTION("""COMPUTED_VALUE"""),483389.72)</f>
        <v>483389.72</v>
      </c>
    </row>
    <row r="5">
      <c r="A5" s="18" t="str">
        <f>IFERROR(__xludf.DUMMYFUNCTION("""COMPUTED_VALUE"""),"SANTANDER CONSUMER USA")</f>
        <v>SANTANDER CONSUMER USA</v>
      </c>
      <c r="B5" s="16">
        <f>IFERROR(__xludf.DUMMYFUNCTION("""COMPUTED_VALUE"""),146.0)</f>
        <v>146</v>
      </c>
      <c r="C5" s="17">
        <f>IFERROR(__xludf.DUMMYFUNCTION("""COMPUTED_VALUE"""),-316.48428571428576)</f>
        <v>-316.4842857</v>
      </c>
      <c r="D5" s="17">
        <f>IFERROR(__xludf.DUMMYFUNCTION("""COMPUTED_VALUE"""),-70042.34000000001)</f>
        <v>-70042.34</v>
      </c>
      <c r="E5" s="17">
        <f>IFERROR(__xludf.DUMMYFUNCTION("""COMPUTED_VALUE"""),2644.45)</f>
        <v>2644.45</v>
      </c>
      <c r="F5" s="17">
        <f>IFERROR(__xludf.DUMMYFUNCTION("""COMPUTED_VALUE"""),324675.27999999997)</f>
        <v>324675.28</v>
      </c>
      <c r="G5" s="17">
        <f>IFERROR(__xludf.DUMMYFUNCTION("""COMPUTED_VALUE"""),2327.9657142857145)</f>
        <v>2327.965714</v>
      </c>
      <c r="H5" s="17">
        <f>IFERROR(__xludf.DUMMYFUNCTION("""COMPUTED_VALUE"""),254632.94)</f>
        <v>254632.94</v>
      </c>
    </row>
    <row r="6">
      <c r="A6" s="18" t="str">
        <f>IFERROR(__xludf.DUMMYFUNCTION("""COMPUTED_VALUE"""),"CAPITAL ONE")</f>
        <v>CAPITAL ONE</v>
      </c>
      <c r="B6" s="16">
        <f>IFERROR(__xludf.DUMMYFUNCTION("""COMPUTED_VALUE"""),135.0)</f>
        <v>135</v>
      </c>
      <c r="C6" s="17">
        <f>IFERROR(__xludf.DUMMYFUNCTION("""COMPUTED_VALUE"""),707.2971428571428)</f>
        <v>707.2971429</v>
      </c>
      <c r="D6" s="17">
        <f>IFERROR(__xludf.DUMMYFUNCTION("""COMPUTED_VALUE"""),90366.06)</f>
        <v>90366.06</v>
      </c>
      <c r="E6" s="17">
        <f>IFERROR(__xludf.DUMMYFUNCTION("""COMPUTED_VALUE"""),2833.9957142857143)</f>
        <v>2833.995714</v>
      </c>
      <c r="F6" s="17">
        <f>IFERROR(__xludf.DUMMYFUNCTION("""COMPUTED_VALUE"""),359612.22000000003)</f>
        <v>359612.22</v>
      </c>
      <c r="G6" s="17">
        <f>IFERROR(__xludf.DUMMYFUNCTION("""COMPUTED_VALUE"""),3541.2914285714287)</f>
        <v>3541.291429</v>
      </c>
      <c r="H6" s="17">
        <f>IFERROR(__xludf.DUMMYFUNCTION("""COMPUTED_VALUE"""),449978.28)</f>
        <v>449978.28</v>
      </c>
    </row>
    <row r="7">
      <c r="A7" s="15" t="str">
        <f>IFERROR(__xludf.DUMMYFUNCTION("""COMPUTED_VALUE"""),"ALLY FINANCIAL")</f>
        <v>ALLY FINANCIAL</v>
      </c>
      <c r="B7" s="16">
        <f>IFERROR(__xludf.DUMMYFUNCTION("""COMPUTED_VALUE"""),89.0)</f>
        <v>89</v>
      </c>
      <c r="C7" s="17">
        <f>IFERROR(__xludf.DUMMYFUNCTION("""COMPUTED_VALUE"""),13.407499999999999)</f>
        <v>13.4075</v>
      </c>
      <c r="D7" s="17">
        <f>IFERROR(__xludf.DUMMYFUNCTION("""COMPUTED_VALUE"""),69000.82)</f>
        <v>69000.82</v>
      </c>
      <c r="E7" s="17">
        <f>IFERROR(__xludf.DUMMYFUNCTION("""COMPUTED_VALUE"""),3010.3750000000005)</f>
        <v>3010.375</v>
      </c>
      <c r="F7" s="17">
        <f>IFERROR(__xludf.DUMMYFUNCTION("""COMPUTED_VALUE"""),264502.44)</f>
        <v>264502.44</v>
      </c>
      <c r="G7" s="17">
        <f>IFERROR(__xludf.DUMMYFUNCTION("""COMPUTED_VALUE"""),3023.785)</f>
        <v>3023.785</v>
      </c>
      <c r="H7" s="17">
        <f>IFERROR(__xludf.DUMMYFUNCTION("""COMPUTED_VALUE"""),333503.25999999995)</f>
        <v>333503.26</v>
      </c>
    </row>
    <row r="8">
      <c r="A8" s="15" t="str">
        <f>IFERROR(__xludf.DUMMYFUNCTION("""COMPUTED_VALUE"""),"TRUIST BANK")</f>
        <v>TRUIST BANK</v>
      </c>
      <c r="B8" s="16">
        <f>IFERROR(__xludf.DUMMYFUNCTION("""COMPUTED_VALUE"""),69.0)</f>
        <v>69</v>
      </c>
      <c r="C8" s="17">
        <f>IFERROR(__xludf.DUMMYFUNCTION("""COMPUTED_VALUE"""),31.66818181818181)</f>
        <v>31.66818182</v>
      </c>
      <c r="D8" s="17">
        <f>IFERROR(__xludf.DUMMYFUNCTION("""COMPUTED_VALUE"""),34177.649999999994)</f>
        <v>34177.65</v>
      </c>
      <c r="E8" s="17">
        <f>IFERROR(__xludf.DUMMYFUNCTION("""COMPUTED_VALUE"""),3292.9618181818178)</f>
        <v>3292.961818</v>
      </c>
      <c r="F8" s="17">
        <f>IFERROR(__xludf.DUMMYFUNCTION("""COMPUTED_VALUE"""),236466.01)</f>
        <v>236466.01</v>
      </c>
      <c r="G8" s="17">
        <f>IFERROR(__xludf.DUMMYFUNCTION("""COMPUTED_VALUE"""),3324.629999999999)</f>
        <v>3324.63</v>
      </c>
      <c r="H8" s="17">
        <f>IFERROR(__xludf.DUMMYFUNCTION("""COMPUTED_VALUE"""),270643.66)</f>
        <v>270643.66</v>
      </c>
    </row>
    <row r="9">
      <c r="A9" s="15" t="str">
        <f>IFERROR(__xludf.DUMMYFUNCTION("""COMPUTED_VALUE"""),"EXETER FINANCE CORPORATION")</f>
        <v>EXETER FINANCE CORPORATION</v>
      </c>
      <c r="B9" s="16">
        <f>IFERROR(__xludf.DUMMYFUNCTION("""COMPUTED_VALUE"""),64.0)</f>
        <v>64</v>
      </c>
      <c r="C9" s="17">
        <f>IFERROR(__xludf.DUMMYFUNCTION("""COMPUTED_VALUE"""),-166.70249999999996)</f>
        <v>-166.7025</v>
      </c>
      <c r="D9" s="17">
        <f>IFERROR(__xludf.DUMMYFUNCTION("""COMPUTED_VALUE"""),-11134.56)</f>
        <v>-11134.56</v>
      </c>
      <c r="E9" s="17">
        <f>IFERROR(__xludf.DUMMYFUNCTION("""COMPUTED_VALUE"""),1469.6425)</f>
        <v>1469.6425</v>
      </c>
      <c r="F9" s="17">
        <f>IFERROR(__xludf.DUMMYFUNCTION("""COMPUTED_VALUE"""),96889.25)</f>
        <v>96889.25</v>
      </c>
      <c r="G9" s="17">
        <f>IFERROR(__xludf.DUMMYFUNCTION("""COMPUTED_VALUE"""),1302.94125)</f>
        <v>1302.94125</v>
      </c>
      <c r="H9" s="17">
        <f>IFERROR(__xludf.DUMMYFUNCTION("""COMPUTED_VALUE"""),85754.69)</f>
        <v>85754.69</v>
      </c>
    </row>
    <row r="10">
      <c r="A10" s="18" t="str">
        <f>IFERROR(__xludf.DUMMYFUNCTION("""COMPUTED_VALUE"""),"TD AUTO FINANCE")</f>
        <v>TD AUTO FINANCE</v>
      </c>
      <c r="B10" s="16">
        <f>IFERROR(__xludf.DUMMYFUNCTION("""COMPUTED_VALUE"""),56.0)</f>
        <v>56</v>
      </c>
      <c r="C10" s="17">
        <f>IFERROR(__xludf.DUMMYFUNCTION("""COMPUTED_VALUE"""),767.548)</f>
        <v>767.548</v>
      </c>
      <c r="D10" s="17">
        <f>IFERROR(__xludf.DUMMYFUNCTION("""COMPUTED_VALUE"""),44065.56)</f>
        <v>44065.56</v>
      </c>
      <c r="E10" s="17">
        <f>IFERROR(__xludf.DUMMYFUNCTION("""COMPUTED_VALUE"""),2497.62)</f>
        <v>2497.62</v>
      </c>
      <c r="F10" s="17">
        <f>IFERROR(__xludf.DUMMYFUNCTION("""COMPUTED_VALUE"""),148325.92)</f>
        <v>148325.92</v>
      </c>
      <c r="G10" s="17">
        <f>IFERROR(__xludf.DUMMYFUNCTION("""COMPUTED_VALUE"""),3265.1679999999997)</f>
        <v>3265.168</v>
      </c>
      <c r="H10" s="17">
        <f>IFERROR(__xludf.DUMMYFUNCTION("""COMPUTED_VALUE"""),192391.47999999998)</f>
        <v>192391.48</v>
      </c>
    </row>
    <row r="11">
      <c r="A11" s="18" t="str">
        <f>IFERROR(__xludf.DUMMYFUNCTION("""COMPUTED_VALUE"""),"OSF")</f>
        <v>OSF</v>
      </c>
      <c r="B11" s="16">
        <f>IFERROR(__xludf.DUMMYFUNCTION("""COMPUTED_VALUE"""),56.0)</f>
        <v>56</v>
      </c>
      <c r="C11" s="17">
        <f>IFERROR(__xludf.DUMMYFUNCTION("""COMPUTED_VALUE"""),277.06)</f>
        <v>277.06</v>
      </c>
      <c r="D11" s="17">
        <f>IFERROR(__xludf.DUMMYFUNCTION("""COMPUTED_VALUE"""),15515.37)</f>
        <v>15515.37</v>
      </c>
      <c r="E11" s="17">
        <f>IFERROR(__xludf.DUMMYFUNCTION("""COMPUTED_VALUE"""),181.92)</f>
        <v>181.92</v>
      </c>
      <c r="F11" s="17">
        <f>IFERROR(__xludf.DUMMYFUNCTION("""COMPUTED_VALUE"""),10187.77)</f>
        <v>10187.77</v>
      </c>
      <c r="G11" s="17">
        <f>IFERROR(__xludf.DUMMYFUNCTION("""COMPUTED_VALUE"""),458.98)</f>
        <v>458.98</v>
      </c>
      <c r="H11" s="17">
        <f>IFERROR(__xludf.DUMMYFUNCTION("""COMPUTED_VALUE"""),25703.14)</f>
        <v>25703.14</v>
      </c>
    </row>
    <row r="12">
      <c r="A12" s="18" t="str">
        <f>IFERROR(__xludf.DUMMYFUNCTION("""COMPUTED_VALUE"""),"WELLS FARGO AUTO")</f>
        <v>WELLS FARGO AUTO</v>
      </c>
      <c r="B12" s="16">
        <f>IFERROR(__xludf.DUMMYFUNCTION("""COMPUTED_VALUE"""),54.0)</f>
        <v>54</v>
      </c>
      <c r="C12" s="17">
        <f>IFERROR(__xludf.DUMMYFUNCTION("""COMPUTED_VALUE"""),755.63875)</f>
        <v>755.63875</v>
      </c>
      <c r="D12" s="17">
        <f>IFERROR(__xludf.DUMMYFUNCTION("""COMPUTED_VALUE"""),39908.619999999995)</f>
        <v>39908.62</v>
      </c>
      <c r="E12" s="17">
        <f>IFERROR(__xludf.DUMMYFUNCTION("""COMPUTED_VALUE"""),1837.2287500000002)</f>
        <v>1837.22875</v>
      </c>
      <c r="F12" s="17">
        <f>IFERROR(__xludf.DUMMYFUNCTION("""COMPUTED_VALUE"""),114212.59)</f>
        <v>114212.59</v>
      </c>
      <c r="G12" s="17">
        <f>IFERROR(__xludf.DUMMYFUNCTION("""COMPUTED_VALUE"""),2592.8675000000003)</f>
        <v>2592.8675</v>
      </c>
      <c r="H12" s="17">
        <f>IFERROR(__xludf.DUMMYFUNCTION("""COMPUTED_VALUE"""),154121.21)</f>
        <v>154121.21</v>
      </c>
    </row>
    <row r="13">
      <c r="A13" s="18" t="str">
        <f>IFERROR(__xludf.DUMMYFUNCTION("""COMPUTED_VALUE"""),"REGIONAL ACCEPTANCE CORPORATION")</f>
        <v>REGIONAL ACCEPTANCE CORPORATION</v>
      </c>
      <c r="B13" s="16">
        <f>IFERROR(__xludf.DUMMYFUNCTION("""COMPUTED_VALUE"""),54.0)</f>
        <v>54</v>
      </c>
      <c r="C13" s="17">
        <f>IFERROR(__xludf.DUMMYFUNCTION("""COMPUTED_VALUE"""),1740.9928571428572)</f>
        <v>1740.992857</v>
      </c>
      <c r="D13" s="17">
        <f>IFERROR(__xludf.DUMMYFUNCTION("""COMPUTED_VALUE"""),62803.95000000001)</f>
        <v>62803.95</v>
      </c>
      <c r="E13" s="17">
        <f>IFERROR(__xludf.DUMMYFUNCTION("""COMPUTED_VALUE"""),2286.5128571428572)</f>
        <v>2286.512857</v>
      </c>
      <c r="F13" s="17">
        <f>IFERROR(__xludf.DUMMYFUNCTION("""COMPUTED_VALUE"""),118950.82000000002)</f>
        <v>118950.82</v>
      </c>
      <c r="G13" s="17">
        <f>IFERROR(__xludf.DUMMYFUNCTION("""COMPUTED_VALUE"""),4027.505714285714)</f>
        <v>4027.505714</v>
      </c>
      <c r="H13" s="17">
        <f>IFERROR(__xludf.DUMMYFUNCTION("""COMPUTED_VALUE"""),181754.77000000002)</f>
        <v>181754.77</v>
      </c>
    </row>
    <row r="14">
      <c r="A14" s="18" t="str">
        <f>IFERROR(__xludf.DUMMYFUNCTION("""COMPUTED_VALUE"""),"EASTMAN CU")</f>
        <v>EASTMAN CU</v>
      </c>
      <c r="B14" s="16">
        <f>IFERROR(__xludf.DUMMYFUNCTION("""COMPUTED_VALUE"""),51.0)</f>
        <v>51</v>
      </c>
      <c r="C14" s="17">
        <f>IFERROR(__xludf.DUMMYFUNCTION("""COMPUTED_VALUE"""),1084.8833333333334)</f>
        <v>1084.883333</v>
      </c>
      <c r="D14" s="17">
        <f>IFERROR(__xludf.DUMMYFUNCTION("""COMPUTED_VALUE"""),58411.36)</f>
        <v>58411.36</v>
      </c>
      <c r="E14" s="17">
        <f>IFERROR(__xludf.DUMMYFUNCTION("""COMPUTED_VALUE"""),1973.3966666666668)</f>
        <v>1973.396667</v>
      </c>
      <c r="F14" s="17">
        <f>IFERROR(__xludf.DUMMYFUNCTION("""COMPUTED_VALUE"""),98022.23000000001)</f>
        <v>98022.23</v>
      </c>
      <c r="G14" s="17">
        <f>IFERROR(__xludf.DUMMYFUNCTION("""COMPUTED_VALUE"""),3058.2766666666666)</f>
        <v>3058.276667</v>
      </c>
      <c r="H14" s="17">
        <f>IFERROR(__xludf.DUMMYFUNCTION("""COMPUTED_VALUE"""),156433.59)</f>
        <v>156433.59</v>
      </c>
    </row>
    <row r="15">
      <c r="A15" s="18" t="str">
        <f>IFERROR(__xludf.DUMMYFUNCTION("""COMPUTED_VALUE"""),"GLOBAL LENDING SERVICES ")</f>
        <v>GLOBAL LENDING SERVICES </v>
      </c>
      <c r="B15" s="16">
        <f>IFERROR(__xludf.DUMMYFUNCTION("""COMPUTED_VALUE"""),46.0)</f>
        <v>46</v>
      </c>
      <c r="C15" s="17">
        <f>IFERROR(__xludf.DUMMYFUNCTION("""COMPUTED_VALUE"""),-88.11666666666667)</f>
        <v>-88.11666667</v>
      </c>
      <c r="D15" s="17">
        <f>IFERROR(__xludf.DUMMYFUNCTION("""COMPUTED_VALUE"""),-7138.09)</f>
        <v>-7138.09</v>
      </c>
      <c r="E15" s="17">
        <f>IFERROR(__xludf.DUMMYFUNCTION("""COMPUTED_VALUE"""),1934.478888888889)</f>
        <v>1934.478889</v>
      </c>
      <c r="F15" s="17">
        <f>IFERROR(__xludf.DUMMYFUNCTION("""COMPUTED_VALUE"""),95896.72)</f>
        <v>95896.72</v>
      </c>
      <c r="G15" s="17">
        <f>IFERROR(__xludf.DUMMYFUNCTION("""COMPUTED_VALUE"""),1846.3633333333335)</f>
        <v>1846.363333</v>
      </c>
      <c r="H15" s="17">
        <f>IFERROR(__xludf.DUMMYFUNCTION("""COMPUTED_VALUE"""),88758.62999999999)</f>
        <v>88758.63</v>
      </c>
    </row>
    <row r="16">
      <c r="A16" s="15" t="str">
        <f>IFERROR(__xludf.DUMMYFUNCTION("""COMPUTED_VALUE"""),"VW CREDIT")</f>
        <v>VW CREDIT</v>
      </c>
      <c r="B16" s="16">
        <f>IFERROR(__xludf.DUMMYFUNCTION("""COMPUTED_VALUE"""),42.0)</f>
        <v>42</v>
      </c>
      <c r="C16" s="17">
        <f>IFERROR(__xludf.DUMMYFUNCTION("""COMPUTED_VALUE"""),675.7475000000001)</f>
        <v>675.7475</v>
      </c>
      <c r="D16" s="17">
        <f>IFERROR(__xludf.DUMMYFUNCTION("""COMPUTED_VALUE"""),38784.40000000001)</f>
        <v>38784.4</v>
      </c>
      <c r="E16" s="17">
        <f>IFERROR(__xludf.DUMMYFUNCTION("""COMPUTED_VALUE"""),1560.025)</f>
        <v>1560.025</v>
      </c>
      <c r="F16" s="17">
        <f>IFERROR(__xludf.DUMMYFUNCTION("""COMPUTED_VALUE"""),85182.96)</f>
        <v>85182.96</v>
      </c>
      <c r="G16" s="17">
        <f>IFERROR(__xludf.DUMMYFUNCTION("""COMPUTED_VALUE"""),2235.7700000000004)</f>
        <v>2235.77</v>
      </c>
      <c r="H16" s="17">
        <f>IFERROR(__xludf.DUMMYFUNCTION("""COMPUTED_VALUE"""),123967.36)</f>
        <v>123967.36</v>
      </c>
    </row>
    <row r="17">
      <c r="A17" s="18" t="str">
        <f>IFERROR(__xludf.DUMMYFUNCTION("""COMPUTED_VALUE"""),"HYUNDAI MOTOR FINANCE")</f>
        <v>HYUNDAI MOTOR FINANCE</v>
      </c>
      <c r="B17" s="16">
        <f>IFERROR(__xludf.DUMMYFUNCTION("""COMPUTED_VALUE"""),38.0)</f>
        <v>38</v>
      </c>
      <c r="C17" s="17">
        <f>IFERROR(__xludf.DUMMYFUNCTION("""COMPUTED_VALUE"""),1383.8500000000001)</f>
        <v>1383.85</v>
      </c>
      <c r="D17" s="17">
        <f>IFERROR(__xludf.DUMMYFUNCTION("""COMPUTED_VALUE"""),57696.93)</f>
        <v>57696.93</v>
      </c>
      <c r="E17" s="17">
        <f>IFERROR(__xludf.DUMMYFUNCTION("""COMPUTED_VALUE"""),1600.5033333333333)</f>
        <v>1600.503333</v>
      </c>
      <c r="F17" s="17">
        <f>IFERROR(__xludf.DUMMYFUNCTION("""COMPUTED_VALUE"""),65436.47)</f>
        <v>65436.47</v>
      </c>
      <c r="G17" s="17">
        <f>IFERROR(__xludf.DUMMYFUNCTION("""COMPUTED_VALUE"""),2984.3566666666666)</f>
        <v>2984.356667</v>
      </c>
      <c r="H17" s="17">
        <f>IFERROR(__xludf.DUMMYFUNCTION("""COMPUTED_VALUE"""),123133.40000000001)</f>
        <v>123133.4</v>
      </c>
    </row>
    <row r="18">
      <c r="A18" s="18" t="str">
        <f>IFERROR(__xludf.DUMMYFUNCTION("""COMPUTED_VALUE"""),"RED RIVER FCU")</f>
        <v>RED RIVER FCU</v>
      </c>
      <c r="B18" s="16">
        <f>IFERROR(__xludf.DUMMYFUNCTION("""COMPUTED_VALUE"""),37.0)</f>
        <v>37</v>
      </c>
      <c r="C18" s="17">
        <f>IFERROR(__xludf.DUMMYFUNCTION("""COMPUTED_VALUE"""),218.916)</f>
        <v>218.916</v>
      </c>
      <c r="D18" s="17">
        <f>IFERROR(__xludf.DUMMYFUNCTION("""COMPUTED_VALUE"""),26902.93)</f>
        <v>26902.93</v>
      </c>
      <c r="E18" s="17">
        <f>IFERROR(__xludf.DUMMYFUNCTION("""COMPUTED_VALUE"""),3339.881999999999)</f>
        <v>3339.882</v>
      </c>
      <c r="F18" s="17">
        <f>IFERROR(__xludf.DUMMYFUNCTION("""COMPUTED_VALUE"""),128796.97000000002)</f>
        <v>128796.97</v>
      </c>
      <c r="G18" s="17">
        <f>IFERROR(__xludf.DUMMYFUNCTION("""COMPUTED_VALUE"""),3558.796)</f>
        <v>3558.796</v>
      </c>
      <c r="H18" s="17">
        <f>IFERROR(__xludf.DUMMYFUNCTION("""COMPUTED_VALUE"""),155699.89999999997)</f>
        <v>155699.9</v>
      </c>
    </row>
    <row r="19">
      <c r="A19" s="18" t="str">
        <f>IFERROR(__xludf.DUMMYFUNCTION("""COMPUTED_VALUE"""),"#N/A")</f>
        <v>#N/A</v>
      </c>
      <c r="B19" s="16">
        <f>IFERROR(__xludf.DUMMYFUNCTION("""COMPUTED_VALUE"""),36.0)</f>
        <v>36</v>
      </c>
      <c r="C19" s="17">
        <f>IFERROR(__xludf.DUMMYFUNCTION("""COMPUTED_VALUE"""),802.4977777777777)</f>
        <v>802.4977778</v>
      </c>
      <c r="D19" s="17">
        <f>IFERROR(__xludf.DUMMYFUNCTION("""COMPUTED_VALUE"""),26617.910000000003)</f>
        <v>26617.91</v>
      </c>
      <c r="E19" s="17">
        <f>IFERROR(__xludf.DUMMYFUNCTION("""COMPUTED_VALUE"""),2613.1844444444446)</f>
        <v>2613.184444</v>
      </c>
      <c r="F19" s="17">
        <f>IFERROR(__xludf.DUMMYFUNCTION("""COMPUTED_VALUE"""),114782.73999999999)</f>
        <v>114782.74</v>
      </c>
      <c r="G19" s="17">
        <f>IFERROR(__xludf.DUMMYFUNCTION("""COMPUTED_VALUE"""),3415.681111111111)</f>
        <v>3415.681111</v>
      </c>
      <c r="H19" s="17">
        <f>IFERROR(__xludf.DUMMYFUNCTION("""COMPUTED_VALUE"""),141400.65000000002)</f>
        <v>141400.65</v>
      </c>
    </row>
    <row r="20">
      <c r="A20" s="18" t="str">
        <f>IFERROR(__xludf.DUMMYFUNCTION("""COMPUTED_VALUE"""),"PNC BANK")</f>
        <v>PNC BANK</v>
      </c>
      <c r="B20" s="16">
        <f>IFERROR(__xludf.DUMMYFUNCTION("""COMPUTED_VALUE"""),35.0)</f>
        <v>35</v>
      </c>
      <c r="C20" s="17">
        <f>IFERROR(__xludf.DUMMYFUNCTION("""COMPUTED_VALUE"""),732.9471428571427)</f>
        <v>732.9471429</v>
      </c>
      <c r="D20" s="17">
        <f>IFERROR(__xludf.DUMMYFUNCTION("""COMPUTED_VALUE"""),73957.33)</f>
        <v>73957.33</v>
      </c>
      <c r="E20" s="17">
        <f>IFERROR(__xludf.DUMMYFUNCTION("""COMPUTED_VALUE"""),3126.1400000000003)</f>
        <v>3126.14</v>
      </c>
      <c r="F20" s="17">
        <f>IFERROR(__xludf.DUMMYFUNCTION("""COMPUTED_VALUE"""),110613.30999999998)</f>
        <v>110613.31</v>
      </c>
      <c r="G20" s="17">
        <f>IFERROR(__xludf.DUMMYFUNCTION("""COMPUTED_VALUE"""),3859.088571428572)</f>
        <v>3859.088571</v>
      </c>
      <c r="H20" s="17">
        <f>IFERROR(__xludf.DUMMYFUNCTION("""COMPUTED_VALUE"""),184570.63999999998)</f>
        <v>184570.64</v>
      </c>
    </row>
    <row r="21">
      <c r="A21" s="18" t="str">
        <f>IFERROR(__xludf.DUMMYFUNCTION("""COMPUTED_VALUE"""),"AMERICAN CREDIT ACCEPTANCE")</f>
        <v>AMERICAN CREDIT ACCEPTANCE</v>
      </c>
      <c r="B21" s="16">
        <f>IFERROR(__xludf.DUMMYFUNCTION("""COMPUTED_VALUE"""),31.0)</f>
        <v>31</v>
      </c>
      <c r="C21" s="17">
        <f>IFERROR(__xludf.DUMMYFUNCTION("""COMPUTED_VALUE"""),411.0350000000001)</f>
        <v>411.035</v>
      </c>
      <c r="D21" s="17">
        <f>IFERROR(__xludf.DUMMYFUNCTION("""COMPUTED_VALUE"""),-65208.979999999996)</f>
        <v>-65208.98</v>
      </c>
      <c r="E21" s="17">
        <f>IFERROR(__xludf.DUMMYFUNCTION("""COMPUTED_VALUE"""),2239.415)</f>
        <v>2239.415</v>
      </c>
      <c r="F21" s="17">
        <f>IFERROR(__xludf.DUMMYFUNCTION("""COMPUTED_VALUE"""),76307.0)</f>
        <v>76307</v>
      </c>
      <c r="G21" s="17">
        <f>IFERROR(__xludf.DUMMYFUNCTION("""COMPUTED_VALUE"""),2650.45)</f>
        <v>2650.45</v>
      </c>
      <c r="H21" s="17">
        <f>IFERROR(__xludf.DUMMYFUNCTION("""COMPUTED_VALUE"""),11098.02)</f>
        <v>11098.02</v>
      </c>
    </row>
    <row r="22">
      <c r="A22" s="18" t="str">
        <f>IFERROR(__xludf.DUMMYFUNCTION("""COMPUTED_VALUE"""),"GM FINANCIAL SERVICES")</f>
        <v>GM FINANCIAL SERVICES</v>
      </c>
      <c r="B22" s="16">
        <f>IFERROR(__xludf.DUMMYFUNCTION("""COMPUTED_VALUE"""),29.0)</f>
        <v>29</v>
      </c>
      <c r="C22" s="17">
        <f>IFERROR(__xludf.DUMMYFUNCTION("""COMPUTED_VALUE"""),1315.0)</f>
        <v>1315</v>
      </c>
      <c r="D22" s="17">
        <f>IFERROR(__xludf.DUMMYFUNCTION("""COMPUTED_VALUE"""),56264.75)</f>
        <v>56264.75</v>
      </c>
      <c r="E22" s="17">
        <f>IFERROR(__xludf.DUMMYFUNCTION("""COMPUTED_VALUE"""),2756.93)</f>
        <v>2756.93</v>
      </c>
      <c r="F22" s="17">
        <f>IFERROR(__xludf.DUMMYFUNCTION("""COMPUTED_VALUE"""),50375.17)</f>
        <v>50375.17</v>
      </c>
      <c r="G22" s="17">
        <f>IFERROR(__xludf.DUMMYFUNCTION("""COMPUTED_VALUE"""),4071.9300000000003)</f>
        <v>4071.93</v>
      </c>
      <c r="H22" s="17">
        <f>IFERROR(__xludf.DUMMYFUNCTION("""COMPUTED_VALUE"""),106639.92)</f>
        <v>106639.92</v>
      </c>
    </row>
    <row r="23">
      <c r="A23" s="18" t="str">
        <f>IFERROR(__xludf.DUMMYFUNCTION("""COMPUTED_VALUE"""),"CONSUMER PORTFOLIO SERVICES")</f>
        <v>CONSUMER PORTFOLIO SERVICES</v>
      </c>
      <c r="B23" s="16">
        <f>IFERROR(__xludf.DUMMYFUNCTION("""COMPUTED_VALUE"""),27.0)</f>
        <v>27</v>
      </c>
      <c r="C23" s="17">
        <f>IFERROR(__xludf.DUMMYFUNCTION("""COMPUTED_VALUE"""),159.74)</f>
        <v>159.74</v>
      </c>
      <c r="D23" s="17">
        <f>IFERROR(__xludf.DUMMYFUNCTION("""COMPUTED_VALUE"""),3255.599999999999)</f>
        <v>3255.6</v>
      </c>
      <c r="E23" s="17">
        <f>IFERROR(__xludf.DUMMYFUNCTION("""COMPUTED_VALUE"""),1921.928333333333)</f>
        <v>1921.928333</v>
      </c>
      <c r="F23" s="17">
        <f>IFERROR(__xludf.DUMMYFUNCTION("""COMPUTED_VALUE"""),53371.130000000005)</f>
        <v>53371.13</v>
      </c>
      <c r="G23" s="17">
        <f>IFERROR(__xludf.DUMMYFUNCTION("""COMPUTED_VALUE"""),2081.668333333333)</f>
        <v>2081.668333</v>
      </c>
      <c r="H23" s="17">
        <f>IFERROR(__xludf.DUMMYFUNCTION("""COMPUTED_VALUE"""),56626.729999999996)</f>
        <v>56626.73</v>
      </c>
    </row>
    <row r="24">
      <c r="A24" s="18" t="str">
        <f>IFERROR(__xludf.DUMMYFUNCTION("""COMPUTED_VALUE"""),"COMMERCE BANK")</f>
        <v>COMMERCE BANK</v>
      </c>
      <c r="B24" s="16">
        <f>IFERROR(__xludf.DUMMYFUNCTION("""COMPUTED_VALUE"""),27.0)</f>
        <v>27</v>
      </c>
      <c r="C24" s="17">
        <f>IFERROR(__xludf.DUMMYFUNCTION("""COMPUTED_VALUE"""),1358.256666666667)</f>
        <v>1358.256667</v>
      </c>
      <c r="D24" s="17">
        <f>IFERROR(__xludf.DUMMYFUNCTION("""COMPUTED_VALUE"""),23173.45)</f>
        <v>23173.45</v>
      </c>
      <c r="E24" s="17">
        <f>IFERROR(__xludf.DUMMYFUNCTION("""COMPUTED_VALUE"""),3050.5399999999995)</f>
        <v>3050.54</v>
      </c>
      <c r="F24" s="17">
        <f>IFERROR(__xludf.DUMMYFUNCTION("""COMPUTED_VALUE"""),70441.75)</f>
        <v>70441.75</v>
      </c>
      <c r="G24" s="17">
        <f>IFERROR(__xludf.DUMMYFUNCTION("""COMPUTED_VALUE"""),4408.796666666666)</f>
        <v>4408.796667</v>
      </c>
      <c r="H24" s="17">
        <f>IFERROR(__xludf.DUMMYFUNCTION("""COMPUTED_VALUE"""),93615.2)</f>
        <v>93615.2</v>
      </c>
    </row>
    <row r="25">
      <c r="A25" s="18" t="str">
        <f>IFERROR(__xludf.DUMMYFUNCTION("""COMPUTED_VALUE"""),"ARVEST BANK")</f>
        <v>ARVEST BANK</v>
      </c>
      <c r="B25" s="16">
        <f>IFERROR(__xludf.DUMMYFUNCTION("""COMPUTED_VALUE"""),27.0)</f>
        <v>27</v>
      </c>
      <c r="C25" s="17">
        <f>IFERROR(__xludf.DUMMYFUNCTION("""COMPUTED_VALUE"""),13.295000000000016)</f>
        <v>13.295</v>
      </c>
      <c r="D25" s="17">
        <f>IFERROR(__xludf.DUMMYFUNCTION("""COMPUTED_VALUE"""),8503.84)</f>
        <v>8503.84</v>
      </c>
      <c r="E25" s="17">
        <f>IFERROR(__xludf.DUMMYFUNCTION("""COMPUTED_VALUE"""),3446.535)</f>
        <v>3446.535</v>
      </c>
      <c r="F25" s="17">
        <f>IFERROR(__xludf.DUMMYFUNCTION("""COMPUTED_VALUE"""),98160.62000000001)</f>
        <v>98160.62</v>
      </c>
      <c r="G25" s="17">
        <f>IFERROR(__xludf.DUMMYFUNCTION("""COMPUTED_VALUE"""),3459.83)</f>
        <v>3459.83</v>
      </c>
      <c r="H25" s="17">
        <f>IFERROR(__xludf.DUMMYFUNCTION("""COMPUTED_VALUE"""),106664.45999999999)</f>
        <v>106664.46</v>
      </c>
    </row>
    <row r="26">
      <c r="A26" s="18" t="str">
        <f>IFERROR(__xludf.DUMMYFUNCTION("""COMPUTED_VALUE"""),"AMERICAN HONDA FINANCE")</f>
        <v>AMERICAN HONDA FINANCE</v>
      </c>
      <c r="B26" s="16">
        <f>IFERROR(__xludf.DUMMYFUNCTION("""COMPUTED_VALUE"""),27.0)</f>
        <v>27</v>
      </c>
      <c r="C26" s="17">
        <f>IFERROR(__xludf.DUMMYFUNCTION("""COMPUTED_VALUE"""),999.765)</f>
        <v>999.765</v>
      </c>
      <c r="D26" s="17">
        <f>IFERROR(__xludf.DUMMYFUNCTION("""COMPUTED_VALUE"""),24335.379999999997)</f>
        <v>24335.38</v>
      </c>
      <c r="E26" s="17">
        <f>IFERROR(__xludf.DUMMYFUNCTION("""COMPUTED_VALUE"""),1248.38)</f>
        <v>1248.38</v>
      </c>
      <c r="F26" s="17">
        <f>IFERROR(__xludf.DUMMYFUNCTION("""COMPUTED_VALUE"""),39396.09)</f>
        <v>39396.09</v>
      </c>
      <c r="G26" s="17">
        <f>IFERROR(__xludf.DUMMYFUNCTION("""COMPUTED_VALUE"""),2248.145)</f>
        <v>2248.145</v>
      </c>
      <c r="H26" s="17">
        <f>IFERROR(__xludf.DUMMYFUNCTION("""COMPUTED_VALUE"""),63731.47)</f>
        <v>63731.47</v>
      </c>
    </row>
    <row r="27">
      <c r="A27" s="18" t="str">
        <f>IFERROR(__xludf.DUMMYFUNCTION("""COMPUTED_VALUE"""),"MERITRUST FCU")</f>
        <v>MERITRUST FCU</v>
      </c>
      <c r="B27" s="16">
        <f>IFERROR(__xludf.DUMMYFUNCTION("""COMPUTED_VALUE"""),26.0)</f>
        <v>26</v>
      </c>
      <c r="C27" s="17">
        <f>IFERROR(__xludf.DUMMYFUNCTION("""COMPUTED_VALUE"""),2032.53)</f>
        <v>2032.53</v>
      </c>
      <c r="D27" s="17">
        <f>IFERROR(__xludf.DUMMYFUNCTION("""COMPUTED_VALUE"""),35729.59)</f>
        <v>35729.59</v>
      </c>
      <c r="E27" s="17">
        <f>IFERROR(__xludf.DUMMYFUNCTION("""COMPUTED_VALUE"""),1445.0)</f>
        <v>1445</v>
      </c>
      <c r="F27" s="17">
        <f>IFERROR(__xludf.DUMMYFUNCTION("""COMPUTED_VALUE"""),62507.35)</f>
        <v>62507.35</v>
      </c>
      <c r="G27" s="17">
        <f>IFERROR(__xludf.DUMMYFUNCTION("""COMPUTED_VALUE"""),3477.5299999999997)</f>
        <v>3477.53</v>
      </c>
      <c r="H27" s="17">
        <f>IFERROR(__xludf.DUMMYFUNCTION("""COMPUTED_VALUE"""),98236.94)</f>
        <v>98236.94</v>
      </c>
    </row>
    <row r="28">
      <c r="A28" s="18" t="str">
        <f>IFERROR(__xludf.DUMMYFUNCTION("""COMPUTED_VALUE"""),"ARKANSAS FCU")</f>
        <v>ARKANSAS FCU</v>
      </c>
      <c r="B28" s="16">
        <f>IFERROR(__xludf.DUMMYFUNCTION("""COMPUTED_VALUE"""),24.0)</f>
        <v>24</v>
      </c>
      <c r="C28" s="17">
        <f>IFERROR(__xludf.DUMMYFUNCTION("""COMPUTED_VALUE"""),1542.37)</f>
        <v>1542.37</v>
      </c>
      <c r="D28" s="17">
        <f>IFERROR(__xludf.DUMMYFUNCTION("""COMPUTED_VALUE"""),37016.77)</f>
        <v>37016.77</v>
      </c>
      <c r="E28" s="17">
        <f>IFERROR(__xludf.DUMMYFUNCTION("""COMPUTED_VALUE"""),2631.69)</f>
        <v>2631.69</v>
      </c>
      <c r="F28" s="17">
        <f>IFERROR(__xludf.DUMMYFUNCTION("""COMPUTED_VALUE"""),63160.65)</f>
        <v>63160.65</v>
      </c>
      <c r="G28" s="17">
        <f>IFERROR(__xludf.DUMMYFUNCTION("""COMPUTED_VALUE"""),4174.06)</f>
        <v>4174.06</v>
      </c>
      <c r="H28" s="17">
        <f>IFERROR(__xludf.DUMMYFUNCTION("""COMPUTED_VALUE"""),100177.42)</f>
        <v>100177.42</v>
      </c>
    </row>
    <row r="29">
      <c r="A29" s="18" t="str">
        <f>IFERROR(__xludf.DUMMYFUNCTION("""COMPUTED_VALUE"""),"FIFTH THIRD BANK")</f>
        <v>FIFTH THIRD BANK</v>
      </c>
      <c r="B29" s="16">
        <f>IFERROR(__xludf.DUMMYFUNCTION("""COMPUTED_VALUE"""),23.0)</f>
        <v>23</v>
      </c>
      <c r="C29" s="17">
        <f>IFERROR(__xludf.DUMMYFUNCTION("""COMPUTED_VALUE"""),293.11199999999997)</f>
        <v>293.112</v>
      </c>
      <c r="D29" s="17">
        <f>IFERROR(__xludf.DUMMYFUNCTION("""COMPUTED_VALUE"""),8906.94)</f>
        <v>8906.94</v>
      </c>
      <c r="E29" s="17">
        <f>IFERROR(__xludf.DUMMYFUNCTION("""COMPUTED_VALUE"""),2283.804)</f>
        <v>2283.804</v>
      </c>
      <c r="F29" s="17">
        <f>IFERROR(__xludf.DUMMYFUNCTION("""COMPUTED_VALUE"""),48176.74)</f>
        <v>48176.74</v>
      </c>
      <c r="G29" s="17">
        <f>IFERROR(__xludf.DUMMYFUNCTION("""COMPUTED_VALUE"""),2576.92)</f>
        <v>2576.92</v>
      </c>
      <c r="H29" s="17">
        <f>IFERROR(__xludf.DUMMYFUNCTION("""COMPUTED_VALUE"""),57083.67999999999)</f>
        <v>57083.68</v>
      </c>
    </row>
    <row r="30">
      <c r="A30" s="18" t="str">
        <f>IFERROR(__xludf.DUMMYFUNCTION("""COMPUTED_VALUE"""),"COMMUNICATION FCU")</f>
        <v>COMMUNICATION FCU</v>
      </c>
      <c r="B30" s="16">
        <f>IFERROR(__xludf.DUMMYFUNCTION("""COMPUTED_VALUE"""),19.0)</f>
        <v>19</v>
      </c>
      <c r="C30" s="17">
        <f>IFERROR(__xludf.DUMMYFUNCTION("""COMPUTED_VALUE"""),25.75)</f>
        <v>25.75</v>
      </c>
      <c r="D30" s="17">
        <f>IFERROR(__xludf.DUMMYFUNCTION("""COMPUTED_VALUE"""),489.34)</f>
        <v>489.34</v>
      </c>
      <c r="E30" s="17">
        <f>IFERROR(__xludf.DUMMYFUNCTION("""COMPUTED_VALUE"""),2009.46)</f>
        <v>2009.46</v>
      </c>
      <c r="F30" s="17">
        <f>IFERROR(__xludf.DUMMYFUNCTION("""COMPUTED_VALUE"""),38179.75)</f>
        <v>38179.75</v>
      </c>
      <c r="G30" s="17">
        <f>IFERROR(__xludf.DUMMYFUNCTION("""COMPUTED_VALUE"""),2035.22)</f>
        <v>2035.22</v>
      </c>
      <c r="H30" s="17">
        <f>IFERROR(__xludf.DUMMYFUNCTION("""COMPUTED_VALUE"""),38669.09)</f>
        <v>38669.09</v>
      </c>
    </row>
    <row r="31">
      <c r="A31" s="18" t="str">
        <f>IFERROR(__xludf.DUMMYFUNCTION("""COMPUTED_VALUE"""),"BARKSDALE FCU")</f>
        <v>BARKSDALE FCU</v>
      </c>
      <c r="B31" s="16">
        <f>IFERROR(__xludf.DUMMYFUNCTION("""COMPUTED_VALUE"""),19.0)</f>
        <v>19</v>
      </c>
      <c r="C31" s="17">
        <f>IFERROR(__xludf.DUMMYFUNCTION("""COMPUTED_VALUE"""),-147.69000000000005)</f>
        <v>-147.69</v>
      </c>
      <c r="D31" s="17">
        <f>IFERROR(__xludf.DUMMYFUNCTION("""COMPUTED_VALUE"""),20237.57)</f>
        <v>20237.57</v>
      </c>
      <c r="E31" s="17">
        <f>IFERROR(__xludf.DUMMYFUNCTION("""COMPUTED_VALUE"""),2603.115)</f>
        <v>2603.115</v>
      </c>
      <c r="F31" s="17">
        <f>IFERROR(__xludf.DUMMYFUNCTION("""COMPUTED_VALUE"""),35677.4)</f>
        <v>35677.4</v>
      </c>
      <c r="G31" s="17">
        <f>IFERROR(__xludf.DUMMYFUNCTION("""COMPUTED_VALUE"""),2455.425)</f>
        <v>2455.425</v>
      </c>
      <c r="H31" s="17">
        <f>IFERROR(__xludf.DUMMYFUNCTION("""COMPUTED_VALUE"""),55914.97)</f>
        <v>55914.97</v>
      </c>
    </row>
    <row r="32">
      <c r="A32" s="18" t="str">
        <f>IFERROR(__xludf.DUMMYFUNCTION("""COMPUTED_VALUE"""),"CHRYSLER CAPITAL")</f>
        <v>CHRYSLER CAPITAL</v>
      </c>
      <c r="B32" s="16">
        <f>IFERROR(__xludf.DUMMYFUNCTION("""COMPUTED_VALUE"""),15.0)</f>
        <v>15</v>
      </c>
      <c r="C32" s="17">
        <f>IFERROR(__xludf.DUMMYFUNCTION("""COMPUTED_VALUE"""),36.71249999999998)</f>
        <v>36.7125</v>
      </c>
      <c r="D32" s="17">
        <f>IFERROR(__xludf.DUMMYFUNCTION("""COMPUTED_VALUE"""),13647.97)</f>
        <v>13647.97</v>
      </c>
      <c r="E32" s="17">
        <f>IFERROR(__xludf.DUMMYFUNCTION("""COMPUTED_VALUE"""),2619.0875)</f>
        <v>2619.0875</v>
      </c>
      <c r="F32" s="17">
        <f>IFERROR(__xludf.DUMMYFUNCTION("""COMPUTED_VALUE"""),38675.74)</f>
        <v>38675.74</v>
      </c>
      <c r="G32" s="17">
        <f>IFERROR(__xludf.DUMMYFUNCTION("""COMPUTED_VALUE"""),2655.8)</f>
        <v>2655.8</v>
      </c>
      <c r="H32" s="17">
        <f>IFERROR(__xludf.DUMMYFUNCTION("""COMPUTED_VALUE"""),52323.71000000001)</f>
        <v>52323.71</v>
      </c>
    </row>
    <row r="33">
      <c r="A33" s="18" t="str">
        <f>IFERROR(__xludf.DUMMYFUNCTION("""COMPUTED_VALUE"""),"WESTLAKE FINANCIAL SERVICES")</f>
        <v>WESTLAKE FINANCIAL SERVICES</v>
      </c>
      <c r="B33" s="16">
        <f>IFERROR(__xludf.DUMMYFUNCTION("""COMPUTED_VALUE"""),12.0)</f>
        <v>12</v>
      </c>
      <c r="C33" s="17">
        <f>IFERROR(__xludf.DUMMYFUNCTION("""COMPUTED_VALUE"""),1706.4)</f>
        <v>1706.4</v>
      </c>
      <c r="D33" s="17">
        <f>IFERROR(__xludf.DUMMYFUNCTION("""COMPUTED_VALUE"""),21506.19)</f>
        <v>21506.19</v>
      </c>
      <c r="E33" s="17">
        <f>IFERROR(__xludf.DUMMYFUNCTION("""COMPUTED_VALUE"""),721.6225)</f>
        <v>721.6225</v>
      </c>
      <c r="F33" s="17">
        <f>IFERROR(__xludf.DUMMYFUNCTION("""COMPUTED_VALUE"""),7799.079999999999)</f>
        <v>7799.08</v>
      </c>
      <c r="G33" s="17">
        <f>IFERROR(__xludf.DUMMYFUNCTION("""COMPUTED_VALUE"""),2428.02)</f>
        <v>2428.02</v>
      </c>
      <c r="H33" s="17">
        <f>IFERROR(__xludf.DUMMYFUNCTION("""COMPUTED_VALUE"""),29305.27)</f>
        <v>29305.27</v>
      </c>
    </row>
    <row r="34">
      <c r="A34" s="18" t="str">
        <f>IFERROR(__xludf.DUMMYFUNCTION("""COMPUTED_VALUE"""),"TINKER FCU")</f>
        <v>TINKER FCU</v>
      </c>
      <c r="B34" s="16">
        <f>IFERROR(__xludf.DUMMYFUNCTION("""COMPUTED_VALUE"""),12.0)</f>
        <v>12</v>
      </c>
      <c r="C34" s="17">
        <f>IFERROR(__xludf.DUMMYFUNCTION("""COMPUTED_VALUE"""),788.17)</f>
        <v>788.17</v>
      </c>
      <c r="D34" s="17">
        <f>IFERROR(__xludf.DUMMYFUNCTION("""COMPUTED_VALUE"""),9458.01)</f>
        <v>9458.01</v>
      </c>
      <c r="E34" s="17">
        <f>IFERROR(__xludf.DUMMYFUNCTION("""COMPUTED_VALUE"""),2550.45)</f>
        <v>2550.45</v>
      </c>
      <c r="F34" s="17">
        <f>IFERROR(__xludf.DUMMYFUNCTION("""COMPUTED_VALUE"""),30605.43)</f>
        <v>30605.43</v>
      </c>
      <c r="G34" s="17">
        <f>IFERROR(__xludf.DUMMYFUNCTION("""COMPUTED_VALUE"""),3338.62)</f>
        <v>3338.62</v>
      </c>
      <c r="H34" s="17">
        <f>IFERROR(__xludf.DUMMYFUNCTION("""COMPUTED_VALUE"""),40063.44)</f>
        <v>40063.44</v>
      </c>
    </row>
    <row r="35">
      <c r="A35" s="18" t="str">
        <f>IFERROR(__xludf.DUMMYFUNCTION("""COMPUTED_VALUE"""),"JP MORGAN CHASE BANK")</f>
        <v>JP MORGAN CHASE BANK</v>
      </c>
      <c r="B35" s="16">
        <f>IFERROR(__xludf.DUMMYFUNCTION("""COMPUTED_VALUE"""),12.0)</f>
        <v>12</v>
      </c>
      <c r="C35" s="17">
        <f>IFERROR(__xludf.DUMMYFUNCTION("""COMPUTED_VALUE"""),784.398)</f>
        <v>784.398</v>
      </c>
      <c r="D35" s="17">
        <f>IFERROR(__xludf.DUMMYFUNCTION("""COMPUTED_VALUE"""),4283.389999999999)</f>
        <v>4283.39</v>
      </c>
      <c r="E35" s="17">
        <f>IFERROR(__xludf.DUMMYFUNCTION("""COMPUTED_VALUE"""),1614.15)</f>
        <v>1614.15</v>
      </c>
      <c r="F35" s="17">
        <f>IFERROR(__xludf.DUMMYFUNCTION("""COMPUTED_VALUE"""),18901.02)</f>
        <v>18901.02</v>
      </c>
      <c r="G35" s="17">
        <f>IFERROR(__xludf.DUMMYFUNCTION("""COMPUTED_VALUE"""),2398.5480000000002)</f>
        <v>2398.548</v>
      </c>
      <c r="H35" s="17">
        <f>IFERROR(__xludf.DUMMYFUNCTION("""COMPUTED_VALUE"""),23184.41)</f>
        <v>23184.41</v>
      </c>
    </row>
    <row r="36">
      <c r="A36" s="15" t="str">
        <f>IFERROR(__xludf.DUMMYFUNCTION("""COMPUTED_VALUE"""),"AMERICREDIT FINANCIAL SERVICES")</f>
        <v>AMERICREDIT FINANCIAL SERVICES</v>
      </c>
      <c r="B36" s="16">
        <f>IFERROR(__xludf.DUMMYFUNCTION("""COMPUTED_VALUE"""),12.0)</f>
        <v>12</v>
      </c>
      <c r="C36" s="17">
        <f>IFERROR(__xludf.DUMMYFUNCTION("""COMPUTED_VALUE"""),-24.88714285714292)</f>
        <v>-24.88714286</v>
      </c>
      <c r="D36" s="17">
        <f>IFERROR(__xludf.DUMMYFUNCTION("""COMPUTED_VALUE"""),4804.819999999999)</f>
        <v>4804.82</v>
      </c>
      <c r="E36" s="17">
        <f>IFERROR(__xludf.DUMMYFUNCTION("""COMPUTED_VALUE"""),2490.0914285714284)</f>
        <v>2490.091429</v>
      </c>
      <c r="F36" s="17">
        <f>IFERROR(__xludf.DUMMYFUNCTION("""COMPUTED_VALUE"""),29282.489999999998)</f>
        <v>29282.49</v>
      </c>
      <c r="G36" s="17">
        <f>IFERROR(__xludf.DUMMYFUNCTION("""COMPUTED_VALUE"""),2465.2042857142856)</f>
        <v>2465.204286</v>
      </c>
      <c r="H36" s="17">
        <f>IFERROR(__xludf.DUMMYFUNCTION("""COMPUTED_VALUE"""),34087.310000000005)</f>
        <v>34087.31</v>
      </c>
    </row>
    <row r="37">
      <c r="A37" s="18" t="str">
        <f>IFERROR(__xludf.DUMMYFUNCTION("""COMPUTED_VALUE"""),"CUA")</f>
        <v>CUA</v>
      </c>
      <c r="B37" s="16">
        <f>IFERROR(__xludf.DUMMYFUNCTION("""COMPUTED_VALUE"""),11.0)</f>
        <v>11</v>
      </c>
      <c r="C37" s="17">
        <f>IFERROR(__xludf.DUMMYFUNCTION("""COMPUTED_VALUE"""),1956.83)</f>
        <v>1956.83</v>
      </c>
      <c r="D37" s="17">
        <f>IFERROR(__xludf.DUMMYFUNCTION("""COMPUTED_VALUE"""),21525.16)</f>
        <v>21525.16</v>
      </c>
      <c r="E37" s="17">
        <f>IFERROR(__xludf.DUMMYFUNCTION("""COMPUTED_VALUE"""),2363.91)</f>
        <v>2363.91</v>
      </c>
      <c r="F37" s="17">
        <f>IFERROR(__xludf.DUMMYFUNCTION("""COMPUTED_VALUE"""),26002.97)</f>
        <v>26002.97</v>
      </c>
      <c r="G37" s="17">
        <f>IFERROR(__xludf.DUMMYFUNCTION("""COMPUTED_VALUE"""),4320.74)</f>
        <v>4320.74</v>
      </c>
      <c r="H37" s="17">
        <f>IFERROR(__xludf.DUMMYFUNCTION("""COMPUTED_VALUE"""),47528.13)</f>
        <v>47528.13</v>
      </c>
    </row>
    <row r="38">
      <c r="A38" s="18" t="str">
        <f>IFERROR(__xludf.DUMMYFUNCTION("""COMPUTED_VALUE"""),"US EMPLOYEES OC FCU")</f>
        <v>US EMPLOYEES OC FCU</v>
      </c>
      <c r="B38" s="16">
        <f>IFERROR(__xludf.DUMMYFUNCTION("""COMPUTED_VALUE"""),8.0)</f>
        <v>8</v>
      </c>
      <c r="C38" s="17">
        <f>IFERROR(__xludf.DUMMYFUNCTION("""COMPUTED_VALUE"""),1006.3)</f>
        <v>1006.3</v>
      </c>
      <c r="D38" s="17">
        <f>IFERROR(__xludf.DUMMYFUNCTION("""COMPUTED_VALUE"""),8050.39)</f>
        <v>8050.39</v>
      </c>
      <c r="E38" s="17">
        <f>IFERROR(__xludf.DUMMYFUNCTION("""COMPUTED_VALUE"""),1562.86)</f>
        <v>1562.86</v>
      </c>
      <c r="F38" s="17">
        <f>IFERROR(__xludf.DUMMYFUNCTION("""COMPUTED_VALUE"""),12502.85)</f>
        <v>12502.85</v>
      </c>
      <c r="G38" s="17">
        <f>IFERROR(__xludf.DUMMYFUNCTION("""COMPUTED_VALUE"""),2569.16)</f>
        <v>2569.16</v>
      </c>
      <c r="H38" s="17">
        <f>IFERROR(__xludf.DUMMYFUNCTION("""COMPUTED_VALUE"""),20553.24)</f>
        <v>20553.24</v>
      </c>
    </row>
    <row r="39">
      <c r="A39" s="18" t="str">
        <f>IFERROR(__xludf.DUMMYFUNCTION("""COMPUTED_VALUE"""),"STELLANTIS FINANCIAL SERV")</f>
        <v>STELLANTIS FINANCIAL SERV</v>
      </c>
      <c r="B39" s="16">
        <f>IFERROR(__xludf.DUMMYFUNCTION("""COMPUTED_VALUE"""),8.0)</f>
        <v>8</v>
      </c>
      <c r="C39" s="17">
        <f>IFERROR(__xludf.DUMMYFUNCTION("""COMPUTED_VALUE"""),1215.1633333333332)</f>
        <v>1215.163333</v>
      </c>
      <c r="D39" s="17">
        <f>IFERROR(__xludf.DUMMYFUNCTION("""COMPUTED_VALUE"""),12441.380000000001)</f>
        <v>12441.38</v>
      </c>
      <c r="E39" s="17">
        <f>IFERROR(__xludf.DUMMYFUNCTION("""COMPUTED_VALUE"""),3227.2833333333333)</f>
        <v>3227.283333</v>
      </c>
      <c r="F39" s="17">
        <f>IFERROR(__xludf.DUMMYFUNCTION("""COMPUTED_VALUE"""),22554.63)</f>
        <v>22554.63</v>
      </c>
      <c r="G39" s="17">
        <f>IFERROR(__xludf.DUMMYFUNCTION("""COMPUTED_VALUE"""),4442.446666666667)</f>
        <v>4442.446667</v>
      </c>
      <c r="H39" s="17">
        <f>IFERROR(__xludf.DUMMYFUNCTION("""COMPUTED_VALUE"""),34996.01)</f>
        <v>34996.01</v>
      </c>
    </row>
    <row r="40">
      <c r="A40" s="18" t="str">
        <f>IFERROR(__xludf.DUMMYFUNCTION("""COMPUTED_VALUE"""),"FOURSIGHT CAPITAL ")</f>
        <v>FOURSIGHT CAPITAL </v>
      </c>
      <c r="B40" s="16">
        <f>IFERROR(__xludf.DUMMYFUNCTION("""COMPUTED_VALUE"""),8.0)</f>
        <v>8</v>
      </c>
      <c r="C40" s="17">
        <f>IFERROR(__xludf.DUMMYFUNCTION("""COMPUTED_VALUE"""),1771.0166666666664)</f>
        <v>1771.016667</v>
      </c>
      <c r="D40" s="17">
        <f>IFERROR(__xludf.DUMMYFUNCTION("""COMPUTED_VALUE"""),10468.039999999999)</f>
        <v>10468.04</v>
      </c>
      <c r="E40" s="17">
        <f>IFERROR(__xludf.DUMMYFUNCTION("""COMPUTED_VALUE"""),1376.8266666666666)</f>
        <v>1376.826667</v>
      </c>
      <c r="F40" s="17">
        <f>IFERROR(__xludf.DUMMYFUNCTION("""COMPUTED_VALUE"""),13227.16)</f>
        <v>13227.16</v>
      </c>
      <c r="G40" s="17">
        <f>IFERROR(__xludf.DUMMYFUNCTION("""COMPUTED_VALUE"""),3147.846666666667)</f>
        <v>3147.846667</v>
      </c>
      <c r="H40" s="17">
        <f>IFERROR(__xludf.DUMMYFUNCTION("""COMPUTED_VALUE"""),23695.2)</f>
        <v>23695.2</v>
      </c>
    </row>
    <row r="41">
      <c r="A41" s="18" t="str">
        <f>IFERROR(__xludf.DUMMYFUNCTION("""COMPUTED_VALUE"""),"DATCU")</f>
        <v>DATCU</v>
      </c>
      <c r="B41" s="16">
        <f>IFERROR(__xludf.DUMMYFUNCTION("""COMPUTED_VALUE"""),7.0)</f>
        <v>7</v>
      </c>
      <c r="C41" s="17">
        <f>IFERROR(__xludf.DUMMYFUNCTION("""COMPUTED_VALUE"""),390.75)</f>
        <v>390.75</v>
      </c>
      <c r="D41" s="17">
        <f>IFERROR(__xludf.DUMMYFUNCTION("""COMPUTED_VALUE"""),2735.27)</f>
        <v>2735.27</v>
      </c>
      <c r="E41" s="17">
        <f>IFERROR(__xludf.DUMMYFUNCTION("""COMPUTED_VALUE"""),2419.45)</f>
        <v>2419.45</v>
      </c>
      <c r="F41" s="17">
        <f>IFERROR(__xludf.DUMMYFUNCTION("""COMPUTED_VALUE"""),16936.15)</f>
        <v>16936.15</v>
      </c>
      <c r="G41" s="17">
        <f>IFERROR(__xludf.DUMMYFUNCTION("""COMPUTED_VALUE"""),2810.2)</f>
        <v>2810.2</v>
      </c>
      <c r="H41" s="17">
        <f>IFERROR(__xludf.DUMMYFUNCTION("""COMPUTED_VALUE"""),19671.42)</f>
        <v>19671.42</v>
      </c>
    </row>
    <row r="42">
      <c r="A42" s="18" t="str">
        <f>IFERROR(__xludf.DUMMYFUNCTION("""COMPUTED_VALUE"""),"CAL-COM FCU")</f>
        <v>CAL-COM FCU</v>
      </c>
      <c r="B42" s="16">
        <f>IFERROR(__xludf.DUMMYFUNCTION("""COMPUTED_VALUE"""),7.0)</f>
        <v>7</v>
      </c>
      <c r="C42" s="17">
        <f>IFERROR(__xludf.DUMMYFUNCTION("""COMPUTED_VALUE"""),-492.97)</f>
        <v>-492.97</v>
      </c>
      <c r="D42" s="17">
        <f>IFERROR(__xludf.DUMMYFUNCTION("""COMPUTED_VALUE"""),-3450.76)</f>
        <v>-3450.76</v>
      </c>
      <c r="E42" s="17">
        <f>IFERROR(__xludf.DUMMYFUNCTION("""COMPUTED_VALUE"""),2455.93)</f>
        <v>2455.93</v>
      </c>
      <c r="F42" s="17">
        <f>IFERROR(__xludf.DUMMYFUNCTION("""COMPUTED_VALUE"""),17191.51)</f>
        <v>17191.51</v>
      </c>
      <c r="G42" s="17">
        <f>IFERROR(__xludf.DUMMYFUNCTION("""COMPUTED_VALUE"""),1962.96)</f>
        <v>1962.96</v>
      </c>
      <c r="H42" s="17">
        <f>IFERROR(__xludf.DUMMYFUNCTION("""COMPUTED_VALUE"""),13740.75)</f>
        <v>13740.75</v>
      </c>
    </row>
    <row r="43">
      <c r="A43" s="18" t="str">
        <f>IFERROR(__xludf.DUMMYFUNCTION("""COMPUTED_VALUE"""),"TEXELL CU")</f>
        <v>TEXELL CU</v>
      </c>
      <c r="B43" s="16">
        <f>IFERROR(__xludf.DUMMYFUNCTION("""COMPUTED_VALUE"""),6.0)</f>
        <v>6</v>
      </c>
      <c r="C43" s="17">
        <f>IFERROR(__xludf.DUMMYFUNCTION("""COMPUTED_VALUE"""),487.47)</f>
        <v>487.47</v>
      </c>
      <c r="D43" s="17">
        <f>IFERROR(__xludf.DUMMYFUNCTION("""COMPUTED_VALUE"""),2924.83)</f>
        <v>2924.83</v>
      </c>
      <c r="E43" s="17">
        <f>IFERROR(__xludf.DUMMYFUNCTION("""COMPUTED_VALUE"""),2060.37)</f>
        <v>2060.37</v>
      </c>
      <c r="F43" s="17">
        <f>IFERROR(__xludf.DUMMYFUNCTION("""COMPUTED_VALUE"""),12362.22)</f>
        <v>12362.22</v>
      </c>
      <c r="G43" s="17">
        <f>IFERROR(__xludf.DUMMYFUNCTION("""COMPUTED_VALUE"""),2547.84)</f>
        <v>2547.84</v>
      </c>
      <c r="H43" s="17">
        <f>IFERROR(__xludf.DUMMYFUNCTION("""COMPUTED_VALUE"""),15287.05)</f>
        <v>15287.05</v>
      </c>
    </row>
    <row r="44">
      <c r="A44" s="18" t="str">
        <f>IFERROR(__xludf.DUMMYFUNCTION("""COMPUTED_VALUE"""),"FIRST HELP FINANCIAL")</f>
        <v>FIRST HELP FINANCIAL</v>
      </c>
      <c r="B44" s="16">
        <f>IFERROR(__xludf.DUMMYFUNCTION("""COMPUTED_VALUE"""),6.0)</f>
        <v>6</v>
      </c>
      <c r="C44" s="17">
        <f>IFERROR(__xludf.DUMMYFUNCTION("""COMPUTED_VALUE"""),-1456.035)</f>
        <v>-1456.035</v>
      </c>
      <c r="D44" s="17">
        <f>IFERROR(__xludf.DUMMYFUNCTION("""COMPUTED_VALUE"""),-10990.59)</f>
        <v>-10990.59</v>
      </c>
      <c r="E44" s="17">
        <f>IFERROR(__xludf.DUMMYFUNCTION("""COMPUTED_VALUE"""),3444.3)</f>
        <v>3444.3</v>
      </c>
      <c r="F44" s="17">
        <f>IFERROR(__xludf.DUMMYFUNCTION("""COMPUTED_VALUE"""),22419.0)</f>
        <v>22419</v>
      </c>
      <c r="G44" s="17">
        <f>IFERROR(__xludf.DUMMYFUNCTION("""COMPUTED_VALUE"""),1988.2649999999999)</f>
        <v>1988.265</v>
      </c>
      <c r="H44" s="17">
        <f>IFERROR(__xludf.DUMMYFUNCTION("""COMPUTED_VALUE"""),11428.41)</f>
        <v>11428.41</v>
      </c>
    </row>
    <row r="45">
      <c r="A45" s="18" t="str">
        <f>IFERROR(__xludf.DUMMYFUNCTION("""COMPUTED_VALUE"""),"CITY BANK")</f>
        <v>CITY BANK</v>
      </c>
      <c r="B45" s="16">
        <f>IFERROR(__xludf.DUMMYFUNCTION("""COMPUTED_VALUE"""),6.0)</f>
        <v>6</v>
      </c>
      <c r="C45" s="17">
        <f>IFERROR(__xludf.DUMMYFUNCTION("""COMPUTED_VALUE"""),548.67)</f>
        <v>548.67</v>
      </c>
      <c r="D45" s="17">
        <f>IFERROR(__xludf.DUMMYFUNCTION("""COMPUTED_VALUE"""),3292.04)</f>
        <v>3292.04</v>
      </c>
      <c r="E45" s="17">
        <f>IFERROR(__xludf.DUMMYFUNCTION("""COMPUTED_VALUE"""),1533.65)</f>
        <v>1533.65</v>
      </c>
      <c r="F45" s="17">
        <f>IFERROR(__xludf.DUMMYFUNCTION("""COMPUTED_VALUE"""),9201.9)</f>
        <v>9201.9</v>
      </c>
      <c r="G45" s="17">
        <f>IFERROR(__xludf.DUMMYFUNCTION("""COMPUTED_VALUE"""),2082.32)</f>
        <v>2082.32</v>
      </c>
      <c r="H45" s="17">
        <f>IFERROR(__xludf.DUMMYFUNCTION("""COMPUTED_VALUE"""),12493.94)</f>
        <v>12493.94</v>
      </c>
    </row>
    <row r="46">
      <c r="A46" s="18" t="str">
        <f>IFERROR(__xludf.DUMMYFUNCTION("""COMPUTED_VALUE"""),"WEOKIE FCU")</f>
        <v>WEOKIE FCU</v>
      </c>
      <c r="B46" s="16">
        <f>IFERROR(__xludf.DUMMYFUNCTION("""COMPUTED_VALUE"""),5.0)</f>
        <v>5</v>
      </c>
      <c r="C46" s="17">
        <f>IFERROR(__xludf.DUMMYFUNCTION("""COMPUTED_VALUE"""),255.67)</f>
        <v>255.67</v>
      </c>
      <c r="D46" s="17">
        <f>IFERROR(__xludf.DUMMYFUNCTION("""COMPUTED_VALUE"""),1278.36)</f>
        <v>1278.36</v>
      </c>
      <c r="E46" s="17">
        <f>IFERROR(__xludf.DUMMYFUNCTION("""COMPUTED_VALUE"""),1973.21)</f>
        <v>1973.21</v>
      </c>
      <c r="F46" s="17">
        <f>IFERROR(__xludf.DUMMYFUNCTION("""COMPUTED_VALUE"""),9866.07)</f>
        <v>9866.07</v>
      </c>
      <c r="G46" s="17">
        <f>IFERROR(__xludf.DUMMYFUNCTION("""COMPUTED_VALUE"""),2228.89)</f>
        <v>2228.89</v>
      </c>
      <c r="H46" s="17">
        <f>IFERROR(__xludf.DUMMYFUNCTION("""COMPUTED_VALUE"""),11144.43)</f>
        <v>11144.43</v>
      </c>
    </row>
    <row r="47">
      <c r="A47" s="18" t="str">
        <f>IFERROR(__xludf.DUMMYFUNCTION("""COMPUTED_VALUE"""),"CINCH AUTO FINANCE")</f>
        <v>CINCH AUTO FINANCE</v>
      </c>
      <c r="B47" s="16">
        <f>IFERROR(__xludf.DUMMYFUNCTION("""COMPUTED_VALUE"""),5.0)</f>
        <v>5</v>
      </c>
      <c r="C47" s="17">
        <f>IFERROR(__xludf.DUMMYFUNCTION("""COMPUTED_VALUE"""),-713.18)</f>
        <v>-713.18</v>
      </c>
      <c r="D47" s="17">
        <f>IFERROR(__xludf.DUMMYFUNCTION("""COMPUTED_VALUE"""),-4245.07)</f>
        <v>-4245.07</v>
      </c>
      <c r="E47" s="17">
        <f>IFERROR(__xludf.DUMMYFUNCTION("""COMPUTED_VALUE"""),5846.094999999999)</f>
        <v>5846.095</v>
      </c>
      <c r="F47" s="17">
        <f>IFERROR(__xludf.DUMMYFUNCTION("""COMPUTED_VALUE"""),28956.57)</f>
        <v>28956.57</v>
      </c>
      <c r="G47" s="17">
        <f>IFERROR(__xludf.DUMMYFUNCTION("""COMPUTED_VALUE"""),5132.915)</f>
        <v>5132.915</v>
      </c>
      <c r="H47" s="17">
        <f>IFERROR(__xludf.DUMMYFUNCTION("""COMPUTED_VALUE"""),24711.5)</f>
        <v>24711.5</v>
      </c>
    </row>
    <row r="48">
      <c r="A48" s="18" t="str">
        <f>IFERROR(__xludf.DUMMYFUNCTION("""COMPUTED_VALUE"""),"BANK OF AMERICA")</f>
        <v>BANK OF AMERICA</v>
      </c>
      <c r="B48" s="16">
        <f>IFERROR(__xludf.DUMMYFUNCTION("""COMPUTED_VALUE"""),5.0)</f>
        <v>5</v>
      </c>
      <c r="C48" s="17">
        <f>IFERROR(__xludf.DUMMYFUNCTION("""COMPUTED_VALUE"""),2960.38)</f>
        <v>2960.38</v>
      </c>
      <c r="D48" s="17">
        <f>IFERROR(__xludf.DUMMYFUNCTION("""COMPUTED_VALUE"""),13954.04)</f>
        <v>13954.04</v>
      </c>
      <c r="E48" s="17">
        <f>IFERROR(__xludf.DUMMYFUNCTION("""COMPUTED_VALUE"""),2425.8525)</f>
        <v>2425.8525</v>
      </c>
      <c r="F48" s="17">
        <f>IFERROR(__xludf.DUMMYFUNCTION("""COMPUTED_VALUE"""),12855.97)</f>
        <v>12855.97</v>
      </c>
      <c r="G48" s="17">
        <f>IFERROR(__xludf.DUMMYFUNCTION("""COMPUTED_VALUE"""),5386.2325)</f>
        <v>5386.2325</v>
      </c>
      <c r="H48" s="17">
        <f>IFERROR(__xludf.DUMMYFUNCTION("""COMPUTED_VALUE"""),26810.01)</f>
        <v>26810.01</v>
      </c>
    </row>
    <row r="49">
      <c r="A49" s="18" t="str">
        <f>IFERROR(__xludf.DUMMYFUNCTION("""COMPUTED_VALUE"""),"OUACHITA VALLEY FCU")</f>
        <v>OUACHITA VALLEY FCU</v>
      </c>
      <c r="B49" s="16">
        <f>IFERROR(__xludf.DUMMYFUNCTION("""COMPUTED_VALUE"""),4.0)</f>
        <v>4</v>
      </c>
      <c r="C49" s="17">
        <f>IFERROR(__xludf.DUMMYFUNCTION("""COMPUTED_VALUE"""),401.2)</f>
        <v>401.2</v>
      </c>
      <c r="D49" s="17">
        <f>IFERROR(__xludf.DUMMYFUNCTION("""COMPUTED_VALUE"""),1604.78)</f>
        <v>1604.78</v>
      </c>
      <c r="E49" s="17">
        <f>IFERROR(__xludf.DUMMYFUNCTION("""COMPUTED_VALUE"""),2099.06)</f>
        <v>2099.06</v>
      </c>
      <c r="F49" s="17">
        <f>IFERROR(__xludf.DUMMYFUNCTION("""COMPUTED_VALUE"""),8396.22)</f>
        <v>8396.22</v>
      </c>
      <c r="G49" s="17">
        <f>IFERROR(__xludf.DUMMYFUNCTION("""COMPUTED_VALUE"""),2500.25)</f>
        <v>2500.25</v>
      </c>
      <c r="H49" s="17">
        <f>IFERROR(__xludf.DUMMYFUNCTION("""COMPUTED_VALUE"""),10001.0)</f>
        <v>10001</v>
      </c>
    </row>
    <row r="50">
      <c r="A50" s="18" t="str">
        <f>IFERROR(__xludf.DUMMYFUNCTION("""COMPUTED_VALUE"""),"MEMBERS CHOICE OF CENTRAL TX FCU")</f>
        <v>MEMBERS CHOICE OF CENTRAL TX FCU</v>
      </c>
      <c r="B50" s="16">
        <f>IFERROR(__xludf.DUMMYFUNCTION("""COMPUTED_VALUE"""),4.0)</f>
        <v>4</v>
      </c>
      <c r="C50" s="17">
        <f>IFERROR(__xludf.DUMMYFUNCTION("""COMPUTED_VALUE"""),3400.76)</f>
        <v>3400.76</v>
      </c>
      <c r="D50" s="17">
        <f>IFERROR(__xludf.DUMMYFUNCTION("""COMPUTED_VALUE"""),13603.03)</f>
        <v>13603.03</v>
      </c>
      <c r="E50" s="17">
        <f>IFERROR(__xludf.DUMMYFUNCTION("""COMPUTED_VALUE"""),2026.0)</f>
        <v>2026</v>
      </c>
      <c r="F50" s="17">
        <f>IFERROR(__xludf.DUMMYFUNCTION("""COMPUTED_VALUE"""),8104.01)</f>
        <v>8104.01</v>
      </c>
      <c r="G50" s="17">
        <f>IFERROR(__xludf.DUMMYFUNCTION("""COMPUTED_VALUE"""),5426.76)</f>
        <v>5426.76</v>
      </c>
      <c r="H50" s="17">
        <f>IFERROR(__xludf.DUMMYFUNCTION("""COMPUTED_VALUE"""),21707.04)</f>
        <v>21707.04</v>
      </c>
    </row>
    <row r="51">
      <c r="A51" s="18" t="str">
        <f>IFERROR(__xludf.DUMMYFUNCTION("""COMPUTED_VALUE"""),"INDEPENDENT BANK")</f>
        <v>INDEPENDENT BANK</v>
      </c>
      <c r="B51" s="16">
        <f>IFERROR(__xludf.DUMMYFUNCTION("""COMPUTED_VALUE"""),4.0)</f>
        <v>4</v>
      </c>
      <c r="C51" s="17">
        <f>IFERROR(__xludf.DUMMYFUNCTION("""COMPUTED_VALUE"""),-68.23)</f>
        <v>-68.23</v>
      </c>
      <c r="D51" s="17">
        <f>IFERROR(__xludf.DUMMYFUNCTION("""COMPUTED_VALUE"""),-272.91)</f>
        <v>-272.91</v>
      </c>
      <c r="E51" s="17">
        <f>IFERROR(__xludf.DUMMYFUNCTION("""COMPUTED_VALUE"""),2512.84)</f>
        <v>2512.84</v>
      </c>
      <c r="F51" s="17">
        <f>IFERROR(__xludf.DUMMYFUNCTION("""COMPUTED_VALUE"""),10051.36)</f>
        <v>10051.36</v>
      </c>
      <c r="G51" s="17">
        <f>IFERROR(__xludf.DUMMYFUNCTION("""COMPUTED_VALUE"""),2444.61)</f>
        <v>2444.61</v>
      </c>
      <c r="H51" s="17">
        <f>IFERROR(__xludf.DUMMYFUNCTION("""COMPUTED_VALUE"""),9778.45)</f>
        <v>9778.45</v>
      </c>
    </row>
    <row r="52">
      <c r="A52" s="18" t="str">
        <f>IFERROR(__xludf.DUMMYFUNCTION("""COMPUTED_VALUE"""),"EDUCATORS CU")</f>
        <v>EDUCATORS CU</v>
      </c>
      <c r="B52" s="16">
        <f>IFERROR(__xludf.DUMMYFUNCTION("""COMPUTED_VALUE"""),4.0)</f>
        <v>4</v>
      </c>
      <c r="C52" s="17">
        <f>IFERROR(__xludf.DUMMYFUNCTION("""COMPUTED_VALUE"""),912.82)</f>
        <v>912.82</v>
      </c>
      <c r="D52" s="17">
        <f>IFERROR(__xludf.DUMMYFUNCTION("""COMPUTED_VALUE"""),3651.26)</f>
        <v>3651.26</v>
      </c>
      <c r="E52" s="17">
        <f>IFERROR(__xludf.DUMMYFUNCTION("""COMPUTED_VALUE"""),1293.27)</f>
        <v>1293.27</v>
      </c>
      <c r="F52" s="17">
        <f>IFERROR(__xludf.DUMMYFUNCTION("""COMPUTED_VALUE"""),5173.08)</f>
        <v>5173.08</v>
      </c>
      <c r="G52" s="17">
        <f>IFERROR(__xludf.DUMMYFUNCTION("""COMPUTED_VALUE"""),2206.09)</f>
        <v>2206.09</v>
      </c>
      <c r="H52" s="17">
        <f>IFERROR(__xludf.DUMMYFUNCTION("""COMPUTED_VALUE"""),8824.34)</f>
        <v>8824.34</v>
      </c>
    </row>
    <row r="53">
      <c r="A53" s="18" t="str">
        <f>IFERROR(__xludf.DUMMYFUNCTION("""COMPUTED_VALUE"""),"CREDIT ACCEPTANCE CORPORATION")</f>
        <v>CREDIT ACCEPTANCE CORPORATION</v>
      </c>
      <c r="B53" s="16">
        <f>IFERROR(__xludf.DUMMYFUNCTION("""COMPUTED_VALUE"""),4.0)</f>
        <v>4</v>
      </c>
      <c r="C53" s="17">
        <f>IFERROR(__xludf.DUMMYFUNCTION("""COMPUTED_VALUE"""),1173.5249999999999)</f>
        <v>1173.525</v>
      </c>
      <c r="D53" s="17">
        <f>IFERROR(__xludf.DUMMYFUNCTION("""COMPUTED_VALUE"""),4694.099999999999)</f>
        <v>4694.1</v>
      </c>
      <c r="E53" s="17">
        <f>IFERROR(__xludf.DUMMYFUNCTION("""COMPUTED_VALUE"""),1103.5)</f>
        <v>1103.5</v>
      </c>
      <c r="F53" s="17">
        <f>IFERROR(__xludf.DUMMYFUNCTION("""COMPUTED_VALUE"""),4414.0)</f>
        <v>4414</v>
      </c>
      <c r="G53" s="17">
        <f>IFERROR(__xludf.DUMMYFUNCTION("""COMPUTED_VALUE"""),2277.025)</f>
        <v>2277.025</v>
      </c>
      <c r="H53" s="17">
        <f>IFERROR(__xludf.DUMMYFUNCTION("""COMPUTED_VALUE"""),9108.1)</f>
        <v>9108.1</v>
      </c>
    </row>
    <row r="54">
      <c r="A54" s="18" t="str">
        <f>IFERROR(__xludf.DUMMYFUNCTION("""COMPUTED_VALUE"""),"FLAGSHIP CREDIT ACCEPTANCE")</f>
        <v>FLAGSHIP CREDIT ACCEPTANCE</v>
      </c>
      <c r="B54" s="16">
        <f>IFERROR(__xludf.DUMMYFUNCTION("""COMPUTED_VALUE"""),3.0)</f>
        <v>3</v>
      </c>
      <c r="C54" s="17">
        <f>IFERROR(__xludf.DUMMYFUNCTION("""COMPUTED_VALUE"""),2036.395)</f>
        <v>2036.395</v>
      </c>
      <c r="D54" s="17">
        <f>IFERROR(__xludf.DUMMYFUNCTION("""COMPUTED_VALUE"""),5393.53)</f>
        <v>5393.53</v>
      </c>
      <c r="E54" s="17">
        <f>IFERROR(__xludf.DUMMYFUNCTION("""COMPUTED_VALUE"""),1091.3899999999999)</f>
        <v>1091.39</v>
      </c>
      <c r="F54" s="17">
        <f>IFERROR(__xludf.DUMMYFUNCTION("""COMPUTED_VALUE"""),3692.55)</f>
        <v>3692.55</v>
      </c>
      <c r="G54" s="17">
        <f>IFERROR(__xludf.DUMMYFUNCTION("""COMPUTED_VALUE"""),3127.7799999999997)</f>
        <v>3127.78</v>
      </c>
      <c r="H54" s="17">
        <f>IFERROR(__xludf.DUMMYFUNCTION("""COMPUTED_VALUE"""),9086.08)</f>
        <v>9086.08</v>
      </c>
    </row>
    <row r="55">
      <c r="A55" s="18" t="str">
        <f>IFERROR(__xludf.DUMMYFUNCTION("""COMPUTED_VALUE"""),"EAST TEXAS PROFESSIONAL CU")</f>
        <v>EAST TEXAS PROFESSIONAL CU</v>
      </c>
      <c r="B55" s="16">
        <f>IFERROR(__xludf.DUMMYFUNCTION("""COMPUTED_VALUE"""),3.0)</f>
        <v>3</v>
      </c>
      <c r="C55" s="17">
        <f>IFERROR(__xludf.DUMMYFUNCTION("""COMPUTED_VALUE"""),1372.46)</f>
        <v>1372.46</v>
      </c>
      <c r="D55" s="17">
        <f>IFERROR(__xludf.DUMMYFUNCTION("""COMPUTED_VALUE"""),4117.37)</f>
        <v>4117.37</v>
      </c>
      <c r="E55" s="17">
        <f>IFERROR(__xludf.DUMMYFUNCTION("""COMPUTED_VALUE"""),399.02)</f>
        <v>399.02</v>
      </c>
      <c r="F55" s="17">
        <f>IFERROR(__xludf.DUMMYFUNCTION("""COMPUTED_VALUE"""),1197.05)</f>
        <v>1197.05</v>
      </c>
      <c r="G55" s="17">
        <f>IFERROR(__xludf.DUMMYFUNCTION("""COMPUTED_VALUE"""),1771.47)</f>
        <v>1771.47</v>
      </c>
      <c r="H55" s="17">
        <f>IFERROR(__xludf.DUMMYFUNCTION("""COMPUTED_VALUE"""),5314.42)</f>
        <v>5314.42</v>
      </c>
    </row>
    <row r="56">
      <c r="A56" s="18" t="str">
        <f>IFERROR(__xludf.DUMMYFUNCTION("""COMPUTED_VALUE"""),"UNITED FCU")</f>
        <v>UNITED FCU</v>
      </c>
      <c r="B56" s="16">
        <f>IFERROR(__xludf.DUMMYFUNCTION("""COMPUTED_VALUE"""),2.0)</f>
        <v>2</v>
      </c>
      <c r="C56" s="17">
        <f>IFERROR(__xludf.DUMMYFUNCTION("""COMPUTED_VALUE"""),2228.53)</f>
        <v>2228.53</v>
      </c>
      <c r="D56" s="17">
        <f>IFERROR(__xludf.DUMMYFUNCTION("""COMPUTED_VALUE"""),4457.06)</f>
        <v>4457.06</v>
      </c>
      <c r="E56" s="17">
        <f>IFERROR(__xludf.DUMMYFUNCTION("""COMPUTED_VALUE"""),2286.18)</f>
        <v>2286.18</v>
      </c>
      <c r="F56" s="17">
        <f>IFERROR(__xludf.DUMMYFUNCTION("""COMPUTED_VALUE"""),4572.35)</f>
        <v>4572.35</v>
      </c>
      <c r="G56" s="17">
        <f>IFERROR(__xludf.DUMMYFUNCTION("""COMPUTED_VALUE"""),4514.71)</f>
        <v>4514.71</v>
      </c>
      <c r="H56" s="17">
        <f>IFERROR(__xludf.DUMMYFUNCTION("""COMPUTED_VALUE"""),9029.41)</f>
        <v>9029.41</v>
      </c>
    </row>
    <row r="57">
      <c r="A57" s="18" t="str">
        <f>IFERROR(__xludf.DUMMYFUNCTION("""COMPUTED_VALUE"""),"SOUTHWEST NATIONAL BANK")</f>
        <v>SOUTHWEST NATIONAL BANK</v>
      </c>
      <c r="B57" s="16">
        <f>IFERROR(__xludf.DUMMYFUNCTION("""COMPUTED_VALUE"""),2.0)</f>
        <v>2</v>
      </c>
      <c r="C57" s="17">
        <f>IFERROR(__xludf.DUMMYFUNCTION("""COMPUTED_VALUE"""),-182.87)</f>
        <v>-182.87</v>
      </c>
      <c r="D57" s="17">
        <f>IFERROR(__xludf.DUMMYFUNCTION("""COMPUTED_VALUE"""),-365.73)</f>
        <v>-365.73</v>
      </c>
      <c r="E57" s="17">
        <f>IFERROR(__xludf.DUMMYFUNCTION("""COMPUTED_VALUE"""),2325.83)</f>
        <v>2325.83</v>
      </c>
      <c r="F57" s="17">
        <f>IFERROR(__xludf.DUMMYFUNCTION("""COMPUTED_VALUE"""),4651.65)</f>
        <v>4651.65</v>
      </c>
      <c r="G57" s="17">
        <f>IFERROR(__xludf.DUMMYFUNCTION("""COMPUTED_VALUE"""),2142.96)</f>
        <v>2142.96</v>
      </c>
      <c r="H57" s="17">
        <f>IFERROR(__xludf.DUMMYFUNCTION("""COMPUTED_VALUE"""),4285.92)</f>
        <v>4285.92</v>
      </c>
    </row>
    <row r="58">
      <c r="A58" s="18" t="str">
        <f>IFERROR(__xludf.DUMMYFUNCTION("""COMPUTED_VALUE"""),"SKYWARD CU")</f>
        <v>SKYWARD CU</v>
      </c>
      <c r="B58" s="16">
        <f>IFERROR(__xludf.DUMMYFUNCTION("""COMPUTED_VALUE"""),2.0)</f>
        <v>2</v>
      </c>
      <c r="C58" s="17">
        <f>IFERROR(__xludf.DUMMYFUNCTION("""COMPUTED_VALUE"""),2457.59)</f>
        <v>2457.59</v>
      </c>
      <c r="D58" s="17">
        <f>IFERROR(__xludf.DUMMYFUNCTION("""COMPUTED_VALUE"""),4915.18)</f>
        <v>4915.18</v>
      </c>
      <c r="E58" s="17">
        <f>IFERROR(__xludf.DUMMYFUNCTION("""COMPUTED_VALUE"""),2541.52)</f>
        <v>2541.52</v>
      </c>
      <c r="F58" s="17">
        <f>IFERROR(__xludf.DUMMYFUNCTION("""COMPUTED_VALUE"""),5083.03)</f>
        <v>5083.03</v>
      </c>
      <c r="G58" s="17">
        <f>IFERROR(__xludf.DUMMYFUNCTION("""COMPUTED_VALUE"""),4999.11)</f>
        <v>4999.11</v>
      </c>
      <c r="H58" s="17">
        <f>IFERROR(__xludf.DUMMYFUNCTION("""COMPUTED_VALUE"""),9998.21)</f>
        <v>9998.21</v>
      </c>
    </row>
    <row r="59">
      <c r="A59" s="18" t="str">
        <f>IFERROR(__xludf.DUMMYFUNCTION("""COMPUTED_VALUE"""),"HEARTLAND CU")</f>
        <v>HEARTLAND CU</v>
      </c>
      <c r="B59" s="16">
        <f>IFERROR(__xludf.DUMMYFUNCTION("""COMPUTED_VALUE"""),2.0)</f>
        <v>2</v>
      </c>
      <c r="C59" s="17">
        <f>IFERROR(__xludf.DUMMYFUNCTION("""COMPUTED_VALUE"""),1972.92)</f>
        <v>1972.92</v>
      </c>
      <c r="D59" s="17">
        <f>IFERROR(__xludf.DUMMYFUNCTION("""COMPUTED_VALUE"""),3945.84)</f>
        <v>3945.84</v>
      </c>
      <c r="E59" s="17">
        <f>IFERROR(__xludf.DUMMYFUNCTION("""COMPUTED_VALUE"""),1319.29)</f>
        <v>1319.29</v>
      </c>
      <c r="F59" s="17">
        <f>IFERROR(__xludf.DUMMYFUNCTION("""COMPUTED_VALUE"""),2638.57)</f>
        <v>2638.57</v>
      </c>
      <c r="G59" s="17">
        <f>IFERROR(__xludf.DUMMYFUNCTION("""COMPUTED_VALUE"""),3292.21)</f>
        <v>3292.21</v>
      </c>
      <c r="H59" s="17">
        <f>IFERROR(__xludf.DUMMYFUNCTION("""COMPUTED_VALUE"""),6584.41)</f>
        <v>6584.41</v>
      </c>
    </row>
    <row r="60">
      <c r="A60" s="18" t="str">
        <f>IFERROR(__xludf.DUMMYFUNCTION("""COMPUTED_VALUE"""),"GREAT PLAINS FCU")</f>
        <v>GREAT PLAINS FCU</v>
      </c>
      <c r="B60" s="16">
        <f>IFERROR(__xludf.DUMMYFUNCTION("""COMPUTED_VALUE"""),2.0)</f>
        <v>2</v>
      </c>
      <c r="C60" s="17">
        <f>IFERROR(__xludf.DUMMYFUNCTION("""COMPUTED_VALUE"""),491.78999999999996)</f>
        <v>491.79</v>
      </c>
      <c r="D60" s="17">
        <f>IFERROR(__xludf.DUMMYFUNCTION("""COMPUTED_VALUE"""),983.5799999999999)</f>
        <v>983.58</v>
      </c>
      <c r="E60" s="17">
        <f>IFERROR(__xludf.DUMMYFUNCTION("""COMPUTED_VALUE"""),2010.835)</f>
        <v>2010.835</v>
      </c>
      <c r="F60" s="17">
        <f>IFERROR(__xludf.DUMMYFUNCTION("""COMPUTED_VALUE"""),4021.67)</f>
        <v>4021.67</v>
      </c>
      <c r="G60" s="17">
        <f>IFERROR(__xludf.DUMMYFUNCTION("""COMPUTED_VALUE"""),2502.625)</f>
        <v>2502.625</v>
      </c>
      <c r="H60" s="17">
        <f>IFERROR(__xludf.DUMMYFUNCTION("""COMPUTED_VALUE"""),5005.25)</f>
        <v>5005.25</v>
      </c>
    </row>
    <row r="61">
      <c r="A61" s="18" t="str">
        <f>IFERROR(__xludf.DUMMYFUNCTION("""COMPUTED_VALUE"""),"GENCO FCU")</f>
        <v>GENCO FCU</v>
      </c>
      <c r="B61" s="16">
        <f>IFERROR(__xludf.DUMMYFUNCTION("""COMPUTED_VALUE"""),2.0)</f>
        <v>2</v>
      </c>
      <c r="C61" s="17">
        <f>IFERROR(__xludf.DUMMYFUNCTION("""COMPUTED_VALUE"""),-827.31)</f>
        <v>-827.31</v>
      </c>
      <c r="D61" s="17">
        <f>IFERROR(__xludf.DUMMYFUNCTION("""COMPUTED_VALUE"""),-1654.61)</f>
        <v>-1654.61</v>
      </c>
      <c r="E61" s="17">
        <f>IFERROR(__xludf.DUMMYFUNCTION("""COMPUTED_VALUE"""),2464.39)</f>
        <v>2464.39</v>
      </c>
      <c r="F61" s="17">
        <f>IFERROR(__xludf.DUMMYFUNCTION("""COMPUTED_VALUE"""),4928.78)</f>
        <v>4928.78</v>
      </c>
      <c r="G61" s="17">
        <f>IFERROR(__xludf.DUMMYFUNCTION("""COMPUTED_VALUE"""),1637.09)</f>
        <v>1637.09</v>
      </c>
      <c r="H61" s="17">
        <f>IFERROR(__xludf.DUMMYFUNCTION("""COMPUTED_VALUE"""),3274.17)</f>
        <v>3274.17</v>
      </c>
    </row>
    <row r="62">
      <c r="A62" s="18" t="str">
        <f>IFERROR(__xludf.DUMMYFUNCTION("""COMPUTED_VALUE"""),"FINANCE POINT")</f>
        <v>FINANCE POINT</v>
      </c>
      <c r="B62" s="16">
        <f>IFERROR(__xludf.DUMMYFUNCTION("""COMPUTED_VALUE"""),2.0)</f>
        <v>2</v>
      </c>
      <c r="C62" s="17">
        <f>IFERROR(__xludf.DUMMYFUNCTION("""COMPUTED_VALUE"""),591.48)</f>
        <v>591.48</v>
      </c>
      <c r="D62" s="17">
        <f>IFERROR(__xludf.DUMMYFUNCTION("""COMPUTED_VALUE"""),1182.96)</f>
        <v>1182.96</v>
      </c>
      <c r="E62" s="17">
        <f>IFERROR(__xludf.DUMMYFUNCTION("""COMPUTED_VALUE"""),1500.5)</f>
        <v>1500.5</v>
      </c>
      <c r="F62" s="17">
        <f>IFERROR(__xludf.DUMMYFUNCTION("""COMPUTED_VALUE"""),3001.0)</f>
        <v>3001</v>
      </c>
      <c r="G62" s="17">
        <f>IFERROR(__xludf.DUMMYFUNCTION("""COMPUTED_VALUE"""),2091.98)</f>
        <v>2091.98</v>
      </c>
      <c r="H62" s="17">
        <f>IFERROR(__xludf.DUMMYFUNCTION("""COMPUTED_VALUE"""),4183.96)</f>
        <v>4183.96</v>
      </c>
    </row>
    <row r="63">
      <c r="A63" s="18" t="str">
        <f>IFERROR(__xludf.DUMMYFUNCTION("""COMPUTED_VALUE"""),"ADVANCIAL FCU")</f>
        <v>ADVANCIAL FCU</v>
      </c>
      <c r="B63" s="16">
        <f>IFERROR(__xludf.DUMMYFUNCTION("""COMPUTED_VALUE"""),2.0)</f>
        <v>2</v>
      </c>
      <c r="C63" s="17">
        <f>IFERROR(__xludf.DUMMYFUNCTION("""COMPUTED_VALUE"""),-1956.6000000000001)</f>
        <v>-1956.6</v>
      </c>
      <c r="D63" s="17">
        <f>IFERROR(__xludf.DUMMYFUNCTION("""COMPUTED_VALUE"""),-3913.2000000000003)</f>
        <v>-3913.2</v>
      </c>
      <c r="E63" s="17">
        <f>IFERROR(__xludf.DUMMYFUNCTION("""COMPUTED_VALUE"""),2705.25)</f>
        <v>2705.25</v>
      </c>
      <c r="F63" s="17">
        <f>IFERROR(__xludf.DUMMYFUNCTION("""COMPUTED_VALUE"""),5410.5)</f>
        <v>5410.5</v>
      </c>
      <c r="G63" s="17">
        <f>IFERROR(__xludf.DUMMYFUNCTION("""COMPUTED_VALUE"""),748.6499999999999)</f>
        <v>748.65</v>
      </c>
      <c r="H63" s="17">
        <f>IFERROR(__xludf.DUMMYFUNCTION("""COMPUTED_VALUE"""),1497.2999999999997)</f>
        <v>1497.3</v>
      </c>
    </row>
    <row r="64">
      <c r="A64" s="18" t="str">
        <f>IFERROR(__xludf.DUMMYFUNCTION("""COMPUTED_VALUE"""),"WICHITA FALLS TEACHERS FCU")</f>
        <v>WICHITA FALLS TEACHERS FCU</v>
      </c>
      <c r="B64" s="16">
        <f>IFERROR(__xludf.DUMMYFUNCTION("""COMPUTED_VALUE"""),1.0)</f>
        <v>1</v>
      </c>
      <c r="C64" s="17">
        <f>IFERROR(__xludf.DUMMYFUNCTION("""COMPUTED_VALUE"""),565.66)</f>
        <v>565.66</v>
      </c>
      <c r="D64" s="17">
        <f>IFERROR(__xludf.DUMMYFUNCTION("""COMPUTED_VALUE"""),565.66)</f>
        <v>565.66</v>
      </c>
      <c r="E64" s="17">
        <f>IFERROR(__xludf.DUMMYFUNCTION("""COMPUTED_VALUE"""),224.32)</f>
        <v>224.32</v>
      </c>
      <c r="F64" s="17">
        <f>IFERROR(__xludf.DUMMYFUNCTION("""COMPUTED_VALUE"""),224.32)</f>
        <v>224.32</v>
      </c>
      <c r="G64" s="17">
        <f>IFERROR(__xludf.DUMMYFUNCTION("""COMPUTED_VALUE"""),789.98)</f>
        <v>789.98</v>
      </c>
      <c r="H64" s="17">
        <f>IFERROR(__xludf.DUMMYFUNCTION("""COMPUTED_VALUE"""),789.98)</f>
        <v>789.98</v>
      </c>
    </row>
    <row r="65">
      <c r="A65" s="18" t="str">
        <f>IFERROR(__xludf.DUMMYFUNCTION("""COMPUTED_VALUE"""),"WHITE EAGLE CU")</f>
        <v>WHITE EAGLE CU</v>
      </c>
      <c r="B65" s="16">
        <f>IFERROR(__xludf.DUMMYFUNCTION("""COMPUTED_VALUE"""),1.0)</f>
        <v>1</v>
      </c>
      <c r="C65" s="17">
        <f>IFERROR(__xludf.DUMMYFUNCTION("""COMPUTED_VALUE"""),3041.29)</f>
        <v>3041.29</v>
      </c>
      <c r="D65" s="17">
        <f>IFERROR(__xludf.DUMMYFUNCTION("""COMPUTED_VALUE"""),3041.29)</f>
        <v>3041.29</v>
      </c>
      <c r="E65" s="17">
        <f>IFERROR(__xludf.DUMMYFUNCTION("""COMPUTED_VALUE"""),960.76)</f>
        <v>960.76</v>
      </c>
      <c r="F65" s="17">
        <f>IFERROR(__xludf.DUMMYFUNCTION("""COMPUTED_VALUE"""),960.76)</f>
        <v>960.76</v>
      </c>
      <c r="G65" s="17">
        <f>IFERROR(__xludf.DUMMYFUNCTION("""COMPUTED_VALUE"""),4002.05)</f>
        <v>4002.05</v>
      </c>
      <c r="H65" s="17">
        <f>IFERROR(__xludf.DUMMYFUNCTION("""COMPUTED_VALUE"""),4002.05)</f>
        <v>4002.05</v>
      </c>
    </row>
    <row r="66">
      <c r="A66" s="18" t="str">
        <f>IFERROR(__xludf.DUMMYFUNCTION("""COMPUTED_VALUE"""),"USAA FEDERAL SAVINGS BANK")</f>
        <v>USAA FEDERAL SAVINGS BANK</v>
      </c>
      <c r="B66" s="16">
        <f>IFERROR(__xludf.DUMMYFUNCTION("""COMPUTED_VALUE"""),1.0)</f>
        <v>1</v>
      </c>
      <c r="C66" s="17">
        <f>IFERROR(__xludf.DUMMYFUNCTION("""COMPUTED_VALUE"""),-996.94)</f>
        <v>-996.94</v>
      </c>
      <c r="D66" s="17">
        <f>IFERROR(__xludf.DUMMYFUNCTION("""COMPUTED_VALUE"""),-996.94)</f>
        <v>-996.94</v>
      </c>
      <c r="E66" s="17">
        <f>IFERROR(__xludf.DUMMYFUNCTION("""COMPUTED_VALUE"""),0.0)</f>
        <v>0</v>
      </c>
      <c r="F66" s="17">
        <f>IFERROR(__xludf.DUMMYFUNCTION("""COMPUTED_VALUE"""),0.0)</f>
        <v>0</v>
      </c>
      <c r="G66" s="17">
        <f>IFERROR(__xludf.DUMMYFUNCTION("""COMPUTED_VALUE"""),-996.94)</f>
        <v>-996.94</v>
      </c>
      <c r="H66" s="17">
        <f>IFERROR(__xludf.DUMMYFUNCTION("""COMPUTED_VALUE"""),-996.94)</f>
        <v>-996.94</v>
      </c>
    </row>
    <row r="67">
      <c r="A67" s="18" t="str">
        <f>IFERROR(__xludf.DUMMYFUNCTION("""COMPUTED_VALUE"""),"TEXOMA COMMUNITY CU")</f>
        <v>TEXOMA COMMUNITY CU</v>
      </c>
      <c r="B67" s="16">
        <f>IFERROR(__xludf.DUMMYFUNCTION("""COMPUTED_VALUE"""),1.0)</f>
        <v>1</v>
      </c>
      <c r="C67" s="17">
        <f>IFERROR(__xludf.DUMMYFUNCTION("""COMPUTED_VALUE"""),2208.04)</f>
        <v>2208.04</v>
      </c>
      <c r="D67" s="17">
        <f>IFERROR(__xludf.DUMMYFUNCTION("""COMPUTED_VALUE"""),2208.04)</f>
        <v>2208.04</v>
      </c>
      <c r="E67" s="17">
        <f>IFERROR(__xludf.DUMMYFUNCTION("""COMPUTED_VALUE"""),1046.44)</f>
        <v>1046.44</v>
      </c>
      <c r="F67" s="17">
        <f>IFERROR(__xludf.DUMMYFUNCTION("""COMPUTED_VALUE"""),1046.44)</f>
        <v>1046.44</v>
      </c>
      <c r="G67" s="17">
        <f>IFERROR(__xludf.DUMMYFUNCTION("""COMPUTED_VALUE"""),3254.48)</f>
        <v>3254.48</v>
      </c>
      <c r="H67" s="17">
        <f>IFERROR(__xludf.DUMMYFUNCTION("""COMPUTED_VALUE"""),3254.48)</f>
        <v>3254.48</v>
      </c>
    </row>
    <row r="68">
      <c r="A68" s="18" t="str">
        <f>IFERROR(__xludf.DUMMYFUNCTION("""COMPUTED_VALUE"""),"TEXAS DOW EMPLOYEES CU")</f>
        <v>TEXAS DOW EMPLOYEES CU</v>
      </c>
      <c r="B68" s="16">
        <f>IFERROR(__xludf.DUMMYFUNCTION("""COMPUTED_VALUE"""),1.0)</f>
        <v>1</v>
      </c>
      <c r="C68" s="17">
        <f>IFERROR(__xludf.DUMMYFUNCTION("""COMPUTED_VALUE"""),-176.83)</f>
        <v>-176.83</v>
      </c>
      <c r="D68" s="17">
        <f>IFERROR(__xludf.DUMMYFUNCTION("""COMPUTED_VALUE"""),-176.83)</f>
        <v>-176.83</v>
      </c>
      <c r="E68" s="17">
        <f>IFERROR(__xludf.DUMMYFUNCTION("""COMPUTED_VALUE"""),2879.54)</f>
        <v>2879.54</v>
      </c>
      <c r="F68" s="17">
        <f>IFERROR(__xludf.DUMMYFUNCTION("""COMPUTED_VALUE"""),2879.54)</f>
        <v>2879.54</v>
      </c>
      <c r="G68" s="17">
        <f>IFERROR(__xludf.DUMMYFUNCTION("""COMPUTED_VALUE"""),2702.71)</f>
        <v>2702.71</v>
      </c>
      <c r="H68" s="17">
        <f>IFERROR(__xludf.DUMMYFUNCTION("""COMPUTED_VALUE"""),2702.71)</f>
        <v>2702.71</v>
      </c>
    </row>
    <row r="69">
      <c r="A69" s="18" t="str">
        <f>IFERROR(__xludf.DUMMYFUNCTION("""COMPUTED_VALUE"""),"SFS LEASING LTD")</f>
        <v>SFS LEASING LTD</v>
      </c>
      <c r="B69" s="16">
        <f>IFERROR(__xludf.DUMMYFUNCTION("""COMPUTED_VALUE"""),1.0)</f>
        <v>1</v>
      </c>
      <c r="C69" s="17">
        <f>IFERROR(__xludf.DUMMYFUNCTION("""COMPUTED_VALUE"""),984.3)</f>
        <v>984.3</v>
      </c>
      <c r="D69" s="17">
        <f>IFERROR(__xludf.DUMMYFUNCTION("""COMPUTED_VALUE"""),984.3)</f>
        <v>984.3</v>
      </c>
      <c r="E69" s="17">
        <f>IFERROR(__xludf.DUMMYFUNCTION("""COMPUTED_VALUE"""),887.0)</f>
        <v>887</v>
      </c>
      <c r="F69" s="17">
        <f>IFERROR(__xludf.DUMMYFUNCTION("""COMPUTED_VALUE"""),887.0)</f>
        <v>887</v>
      </c>
      <c r="G69" s="17">
        <f>IFERROR(__xludf.DUMMYFUNCTION("""COMPUTED_VALUE"""),1871.3)</f>
        <v>1871.3</v>
      </c>
      <c r="H69" s="17">
        <f>IFERROR(__xludf.DUMMYFUNCTION("""COMPUTED_VALUE"""),1871.3)</f>
        <v>1871.3</v>
      </c>
    </row>
    <row r="70">
      <c r="A70" s="18" t="str">
        <f>IFERROR(__xludf.DUMMYFUNCTION("""COMPUTED_VALUE"""),"RANDOLPH-BROOKS FCU")</f>
        <v>RANDOLPH-BROOKS FCU</v>
      </c>
      <c r="B70" s="16">
        <f>IFERROR(__xludf.DUMMYFUNCTION("""COMPUTED_VALUE"""),1.0)</f>
        <v>1</v>
      </c>
      <c r="C70" s="17">
        <f>IFERROR(__xludf.DUMMYFUNCTION("""COMPUTED_VALUE"""),7827.98)</f>
        <v>7827.98</v>
      </c>
      <c r="D70" s="17">
        <f>IFERROR(__xludf.DUMMYFUNCTION("""COMPUTED_VALUE"""),7827.98)</f>
        <v>7827.98</v>
      </c>
      <c r="E70" s="17">
        <f>IFERROR(__xludf.DUMMYFUNCTION("""COMPUTED_VALUE"""),1597.0)</f>
        <v>1597</v>
      </c>
      <c r="F70" s="17">
        <f>IFERROR(__xludf.DUMMYFUNCTION("""COMPUTED_VALUE"""),1597.0)</f>
        <v>1597</v>
      </c>
      <c r="G70" s="17">
        <f>IFERROR(__xludf.DUMMYFUNCTION("""COMPUTED_VALUE"""),9424.98)</f>
        <v>9424.98</v>
      </c>
      <c r="H70" s="17">
        <f>IFERROR(__xludf.DUMMYFUNCTION("""COMPUTED_VALUE"""),9424.98)</f>
        <v>9424.98</v>
      </c>
    </row>
    <row r="71">
      <c r="A71" s="18" t="str">
        <f>IFERROR(__xludf.DUMMYFUNCTION("""COMPUTED_VALUE"""),"PRESTIGE FINANCIAL SERVICES")</f>
        <v>PRESTIGE FINANCIAL SERVICES</v>
      </c>
      <c r="B71" s="16">
        <f>IFERROR(__xludf.DUMMYFUNCTION("""COMPUTED_VALUE"""),1.0)</f>
        <v>1</v>
      </c>
      <c r="C71" s="17">
        <f>IFERROR(__xludf.DUMMYFUNCTION("""COMPUTED_VALUE"""),-2131.99)</f>
        <v>-2131.99</v>
      </c>
      <c r="D71" s="17">
        <f>IFERROR(__xludf.DUMMYFUNCTION("""COMPUTED_VALUE"""),-2131.99)</f>
        <v>-2131.99</v>
      </c>
      <c r="E71" s="17">
        <f>IFERROR(__xludf.DUMMYFUNCTION("""COMPUTED_VALUE"""),0.0)</f>
        <v>0</v>
      </c>
      <c r="F71" s="17">
        <f>IFERROR(__xludf.DUMMYFUNCTION("""COMPUTED_VALUE"""),0.0)</f>
        <v>0</v>
      </c>
      <c r="G71" s="17">
        <f>IFERROR(__xludf.DUMMYFUNCTION("""COMPUTED_VALUE"""),-2131.99)</f>
        <v>-2131.99</v>
      </c>
      <c r="H71" s="17">
        <f>IFERROR(__xludf.DUMMYFUNCTION("""COMPUTED_VALUE"""),-2131.99)</f>
        <v>-2131.99</v>
      </c>
    </row>
    <row r="72">
      <c r="A72" s="18" t="str">
        <f>IFERROR(__xludf.DUMMYFUNCTION("""COMPUTED_VALUE"""),"OKLAHOMA'S CU")</f>
        <v>OKLAHOMA'S CU</v>
      </c>
      <c r="B72" s="16">
        <f>IFERROR(__xludf.DUMMYFUNCTION("""COMPUTED_VALUE"""),1.0)</f>
        <v>1</v>
      </c>
      <c r="C72" s="17">
        <f>IFERROR(__xludf.DUMMYFUNCTION("""COMPUTED_VALUE"""),-2199.0)</f>
        <v>-2199</v>
      </c>
      <c r="D72" s="17">
        <f>IFERROR(__xludf.DUMMYFUNCTION("""COMPUTED_VALUE"""),-2199.0)</f>
        <v>-2199</v>
      </c>
      <c r="E72" s="17">
        <f>IFERROR(__xludf.DUMMYFUNCTION("""COMPUTED_VALUE"""),279.87)</f>
        <v>279.87</v>
      </c>
      <c r="F72" s="17">
        <f>IFERROR(__xludf.DUMMYFUNCTION("""COMPUTED_VALUE"""),279.87)</f>
        <v>279.87</v>
      </c>
      <c r="G72" s="17">
        <f>IFERROR(__xludf.DUMMYFUNCTION("""COMPUTED_VALUE"""),-1919.13)</f>
        <v>-1919.13</v>
      </c>
      <c r="H72" s="17">
        <f>IFERROR(__xludf.DUMMYFUNCTION("""COMPUTED_VALUE"""),-1919.13)</f>
        <v>-1919.13</v>
      </c>
    </row>
    <row r="73">
      <c r="A73" s="18" t="str">
        <f>IFERROR(__xludf.DUMMYFUNCTION("""COMPUTED_VALUE"""),"OKLAHOMA FCU")</f>
        <v>OKLAHOMA FCU</v>
      </c>
      <c r="B73" s="16">
        <f>IFERROR(__xludf.DUMMYFUNCTION("""COMPUTED_VALUE"""),1.0)</f>
        <v>1</v>
      </c>
      <c r="C73" s="17">
        <f>IFERROR(__xludf.DUMMYFUNCTION("""COMPUTED_VALUE"""),-2043.89)</f>
        <v>-2043.89</v>
      </c>
      <c r="D73" s="17">
        <f>IFERROR(__xludf.DUMMYFUNCTION("""COMPUTED_VALUE"""),-2043.89)</f>
        <v>-2043.89</v>
      </c>
      <c r="E73" s="17">
        <f>IFERROR(__xludf.DUMMYFUNCTION("""COMPUTED_VALUE"""),1391.81)</f>
        <v>1391.81</v>
      </c>
      <c r="F73" s="17">
        <f>IFERROR(__xludf.DUMMYFUNCTION("""COMPUTED_VALUE"""),1391.81)</f>
        <v>1391.81</v>
      </c>
      <c r="G73" s="17">
        <f>IFERROR(__xludf.DUMMYFUNCTION("""COMPUTED_VALUE"""),-652.08)</f>
        <v>-652.08</v>
      </c>
      <c r="H73" s="17">
        <f>IFERROR(__xludf.DUMMYFUNCTION("""COMPUTED_VALUE"""),-652.08)</f>
        <v>-652.08</v>
      </c>
    </row>
    <row r="74">
      <c r="A74" s="18" t="str">
        <f>IFERROR(__xludf.DUMMYFUNCTION("""COMPUTED_VALUE"""),"LIBERTY NATIONAL BANK")</f>
        <v>LIBERTY NATIONAL BANK</v>
      </c>
      <c r="B74" s="16">
        <f>IFERROR(__xludf.DUMMYFUNCTION("""COMPUTED_VALUE"""),1.0)</f>
        <v>1</v>
      </c>
      <c r="C74" s="17">
        <f>IFERROR(__xludf.DUMMYFUNCTION("""COMPUTED_VALUE"""),-2037.35)</f>
        <v>-2037.35</v>
      </c>
      <c r="D74" s="17">
        <f>IFERROR(__xludf.DUMMYFUNCTION("""COMPUTED_VALUE"""),-2037.35)</f>
        <v>-2037.35</v>
      </c>
      <c r="E74" s="17">
        <f>IFERROR(__xludf.DUMMYFUNCTION("""COMPUTED_VALUE"""),200.0)</f>
        <v>200</v>
      </c>
      <c r="F74" s="17">
        <f>IFERROR(__xludf.DUMMYFUNCTION("""COMPUTED_VALUE"""),200.0)</f>
        <v>200</v>
      </c>
      <c r="G74" s="17">
        <f>IFERROR(__xludf.DUMMYFUNCTION("""COMPUTED_VALUE"""),-1837.35)</f>
        <v>-1837.35</v>
      </c>
      <c r="H74" s="17">
        <f>IFERROR(__xludf.DUMMYFUNCTION("""COMPUTED_VALUE"""),-1837.35)</f>
        <v>-1837.35</v>
      </c>
    </row>
    <row r="75">
      <c r="A75" s="18" t="str">
        <f>IFERROR(__xludf.DUMMYFUNCTION("""COMPUTED_VALUE"""),"INTRUST BANK")</f>
        <v>INTRUST BANK</v>
      </c>
      <c r="B75" s="16">
        <f>IFERROR(__xludf.DUMMYFUNCTION("""COMPUTED_VALUE"""),1.0)</f>
        <v>1</v>
      </c>
      <c r="C75" s="17">
        <f>IFERROR(__xludf.DUMMYFUNCTION("""COMPUTED_VALUE"""),177.66)</f>
        <v>177.66</v>
      </c>
      <c r="D75" s="17">
        <f>IFERROR(__xludf.DUMMYFUNCTION("""COMPUTED_VALUE"""),177.66)</f>
        <v>177.66</v>
      </c>
      <c r="E75" s="17">
        <f>IFERROR(__xludf.DUMMYFUNCTION("""COMPUTED_VALUE"""),5066.2)</f>
        <v>5066.2</v>
      </c>
      <c r="F75" s="17">
        <f>IFERROR(__xludf.DUMMYFUNCTION("""COMPUTED_VALUE"""),5066.2)</f>
        <v>5066.2</v>
      </c>
      <c r="G75" s="17">
        <f>IFERROR(__xludf.DUMMYFUNCTION("""COMPUTED_VALUE"""),5243.86)</f>
        <v>5243.86</v>
      </c>
      <c r="H75" s="17">
        <f>IFERROR(__xludf.DUMMYFUNCTION("""COMPUTED_VALUE"""),5243.86)</f>
        <v>5243.86</v>
      </c>
    </row>
    <row r="76">
      <c r="A76" s="18" t="str">
        <f>IFERROR(__xludf.DUMMYFUNCTION("""COMPUTED_VALUE"""),"FARMERS BANK AND TRUST")</f>
        <v>FARMERS BANK AND TRUST</v>
      </c>
      <c r="B76" s="16">
        <f>IFERROR(__xludf.DUMMYFUNCTION("""COMPUTED_VALUE"""),1.0)</f>
        <v>1</v>
      </c>
      <c r="C76" s="17">
        <f>IFERROR(__xludf.DUMMYFUNCTION("""COMPUTED_VALUE"""),-668.51)</f>
        <v>-668.51</v>
      </c>
      <c r="D76" s="17">
        <f>IFERROR(__xludf.DUMMYFUNCTION("""COMPUTED_VALUE"""),-668.51)</f>
        <v>-668.51</v>
      </c>
      <c r="E76" s="17">
        <f>IFERROR(__xludf.DUMMYFUNCTION("""COMPUTED_VALUE"""),-75.0)</f>
        <v>-75</v>
      </c>
      <c r="F76" s="17">
        <f>IFERROR(__xludf.DUMMYFUNCTION("""COMPUTED_VALUE"""),-75.0)</f>
        <v>-75</v>
      </c>
      <c r="G76" s="17">
        <f>IFERROR(__xludf.DUMMYFUNCTION("""COMPUTED_VALUE"""),-743.51)</f>
        <v>-743.51</v>
      </c>
      <c r="H76" s="17">
        <f>IFERROR(__xludf.DUMMYFUNCTION("""COMPUTED_VALUE"""),-743.51)</f>
        <v>-743.51</v>
      </c>
    </row>
    <row r="77">
      <c r="A77" s="15" t="str">
        <f>IFERROR(__xludf.DUMMYFUNCTION("""COMPUTED_VALUE"""),"EXTRACO BANKS, N.A.")</f>
        <v>EXTRACO BANKS, N.A.</v>
      </c>
      <c r="B77" s="16">
        <f>IFERROR(__xludf.DUMMYFUNCTION("""COMPUTED_VALUE"""),1.0)</f>
        <v>1</v>
      </c>
      <c r="C77" s="17">
        <f>IFERROR(__xludf.DUMMYFUNCTION("""COMPUTED_VALUE"""),1748.03)</f>
        <v>1748.03</v>
      </c>
      <c r="D77" s="17">
        <f>IFERROR(__xludf.DUMMYFUNCTION("""COMPUTED_VALUE"""),1748.03)</f>
        <v>1748.03</v>
      </c>
      <c r="E77" s="17">
        <f>IFERROR(__xludf.DUMMYFUNCTION("""COMPUTED_VALUE"""),3041.5)</f>
        <v>3041.5</v>
      </c>
      <c r="F77" s="17">
        <f>IFERROR(__xludf.DUMMYFUNCTION("""COMPUTED_VALUE"""),3041.5)</f>
        <v>3041.5</v>
      </c>
      <c r="G77" s="17">
        <f>IFERROR(__xludf.DUMMYFUNCTION("""COMPUTED_VALUE"""),4789.53)</f>
        <v>4789.53</v>
      </c>
      <c r="H77" s="17">
        <f>IFERROR(__xludf.DUMMYFUNCTION("""COMPUTED_VALUE"""),4789.53)</f>
        <v>4789.53</v>
      </c>
    </row>
    <row r="78">
      <c r="A78" s="15" t="str">
        <f>IFERROR(__xludf.DUMMYFUNCTION("""COMPUTED_VALUE"""),"AUSTIN BANK TEXAS ")</f>
        <v>AUSTIN BANK TEXAS </v>
      </c>
      <c r="B78" s="16">
        <f>IFERROR(__xludf.DUMMYFUNCTION("""COMPUTED_VALUE"""),1.0)</f>
        <v>1</v>
      </c>
      <c r="C78" s="17">
        <f>IFERROR(__xludf.DUMMYFUNCTION("""COMPUTED_VALUE"""),-617.69)</f>
        <v>-617.69</v>
      </c>
      <c r="D78" s="17">
        <f>IFERROR(__xludf.DUMMYFUNCTION("""COMPUTED_VALUE"""),-617.69)</f>
        <v>-617.69</v>
      </c>
      <c r="E78" s="17">
        <f>IFERROR(__xludf.DUMMYFUNCTION("""COMPUTED_VALUE"""),0.0)</f>
        <v>0</v>
      </c>
      <c r="F78" s="17">
        <f>IFERROR(__xludf.DUMMYFUNCTION("""COMPUTED_VALUE"""),0.0)</f>
        <v>0</v>
      </c>
      <c r="G78" s="17">
        <f>IFERROR(__xludf.DUMMYFUNCTION("""COMPUTED_VALUE"""),-617.69)</f>
        <v>-617.69</v>
      </c>
      <c r="H78" s="17">
        <f>IFERROR(__xludf.DUMMYFUNCTION("""COMPUTED_VALUE"""),-617.69)</f>
        <v>-617.69</v>
      </c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