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IFERROR(__xludf.DUMMYFUNCTION("""COMPUTED_VALUE"""),353.0)</f>
        <v>353</v>
      </c>
      <c r="C3" s="4"/>
      <c r="D3" s="5" t="str">
        <f>IFERROR(__xludf.DUMMYFUNCTION("""COMPUTED_VALUE"""),"CASH")</f>
        <v>CASH</v>
      </c>
      <c r="E3" s="7">
        <f>IFERROR(__xludf.DUMMYFUNCTION("""COMPUTED_VALUE"""),364460.89)</f>
        <v>364460.89</v>
      </c>
      <c r="F3" s="4"/>
      <c r="G3" s="5" t="str">
        <f>IFERROR(__xludf.DUMMYFUNCTION("""COMPUTED_VALUE"""),"KIA MOTORS FINANCE")</f>
        <v>KIA MOTORS FINANCE</v>
      </c>
      <c r="H3" s="7">
        <f>IFERROR(__xludf.DUMMYFUNCTION("""COMPUTED_VALUE"""),522683.41000000003)</f>
        <v>522683.41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IFERROR(__xludf.DUMMYFUNCTION("""COMPUTED_VALUE"""),240.0)</f>
        <v>240</v>
      </c>
      <c r="C4" s="4"/>
      <c r="D4" s="5" t="str">
        <f>IFERROR(__xludf.DUMMYFUNCTION("""COMPUTED_VALUE"""),"CAPITAL ONE")</f>
        <v>CAPITAL ONE</v>
      </c>
      <c r="E4" s="7">
        <f>IFERROR(__xludf.DUMMYFUNCTION("""COMPUTED_VALUE"""),91947.12999999999)</f>
        <v>91947.13</v>
      </c>
      <c r="F4" s="4"/>
      <c r="G4" s="5" t="str">
        <f>IFERROR(__xludf.DUMMYFUNCTION("""COMPUTED_VALUE"""),"NMAC")</f>
        <v>NMAC</v>
      </c>
      <c r="H4" s="7">
        <f>IFERROR(__xludf.DUMMYFUNCTION("""COMPUTED_VALUE"""),487962.87)</f>
        <v>487962.87</v>
      </c>
    </row>
    <row r="5">
      <c r="A5" s="5" t="str">
        <f>IFERROR(__xludf.DUMMYFUNCTION("""COMPUTED_VALUE"""),"NMAC")</f>
        <v>NMAC</v>
      </c>
      <c r="B5" s="6">
        <f>IFERROR(__xludf.DUMMYFUNCTION("""COMPUTED_VALUE"""),213.0)</f>
        <v>213</v>
      </c>
      <c r="C5" s="4"/>
      <c r="D5" s="5" t="str">
        <f>IFERROR(__xludf.DUMMYFUNCTION("""COMPUTED_VALUE"""),"NMAC")</f>
        <v>NMAC</v>
      </c>
      <c r="E5" s="7">
        <f>IFERROR(__xludf.DUMMYFUNCTION("""COMPUTED_VALUE"""),90648.34)</f>
        <v>90648.34</v>
      </c>
      <c r="F5" s="4"/>
      <c r="G5" s="5" t="str">
        <f>IFERROR(__xludf.DUMMYFUNCTION("""COMPUTED_VALUE"""),"CAPITAL ONE")</f>
        <v>CAPITAL ONE</v>
      </c>
      <c r="H5" s="7">
        <f>IFERROR(__xludf.DUMMYFUNCTION("""COMPUTED_VALUE"""),412181.23000000004)</f>
        <v>412181.23</v>
      </c>
    </row>
    <row r="6">
      <c r="A6" s="5" t="str">
        <f>IFERROR(__xludf.DUMMYFUNCTION("""COMPUTED_VALUE"""),"SANTANDER CONSUMER USA")</f>
        <v>SANTANDER CONSUMER USA</v>
      </c>
      <c r="B6" s="6">
        <f>IFERROR(__xludf.DUMMYFUNCTION("""COMPUTED_VALUE"""),172.0)</f>
        <v>172</v>
      </c>
      <c r="C6" s="4"/>
      <c r="D6" s="5" t="str">
        <f>IFERROR(__xludf.DUMMYFUNCTION("""COMPUTED_VALUE"""),"ALLY FINANCIAL")</f>
        <v>ALLY FINANCIAL</v>
      </c>
      <c r="E6" s="7">
        <f>IFERROR(__xludf.DUMMYFUNCTION("""COMPUTED_VALUE"""),88323.84000000001)</f>
        <v>88323.84</v>
      </c>
      <c r="F6" s="4"/>
      <c r="G6" s="5" t="str">
        <f>IFERROR(__xludf.DUMMYFUNCTION("""COMPUTED_VALUE"""),"SANTANDER CONSUMER USA")</f>
        <v>SANTANDER CONSUMER USA</v>
      </c>
      <c r="H6" s="7">
        <f>IFERROR(__xludf.DUMMYFUNCTION("""COMPUTED_VALUE"""),382122.62000000005)</f>
        <v>382122.62</v>
      </c>
    </row>
    <row r="7">
      <c r="A7" s="5" t="str">
        <f>IFERROR(__xludf.DUMMYFUNCTION("""COMPUTED_VALUE"""),"CAPITAL ONE")</f>
        <v>CAPITAL ONE</v>
      </c>
      <c r="B7" s="6">
        <f>IFERROR(__xludf.DUMMYFUNCTION("""COMPUTED_VALUE"""),162.0)</f>
        <v>162</v>
      </c>
      <c r="C7" s="4"/>
      <c r="D7" s="5" t="str">
        <f>IFERROR(__xludf.DUMMYFUNCTION("""COMPUTED_VALUE"""),"PNC BANK")</f>
        <v>PNC BANK</v>
      </c>
      <c r="E7" s="7">
        <f>IFERROR(__xludf.DUMMYFUNCTION("""COMPUTED_VALUE"""),86047.84)</f>
        <v>86047.84</v>
      </c>
      <c r="F7" s="4"/>
      <c r="G7" s="5" t="str">
        <f>IFERROR(__xludf.DUMMYFUNCTION("""COMPUTED_VALUE"""),"ALLY FINANCIAL")</f>
        <v>ALLY FINANCIAL</v>
      </c>
      <c r="H7" s="7">
        <f>IFERROR(__xludf.DUMMYFUNCTION("""COMPUTED_VALUE"""),296296.72000000003)</f>
        <v>296296.72</v>
      </c>
    </row>
    <row r="8">
      <c r="A8" s="5" t="str">
        <f>IFERROR(__xludf.DUMMYFUNCTION("""COMPUTED_VALUE"""),"ALLY FINANCIAL")</f>
        <v>ALLY FINANCIAL</v>
      </c>
      <c r="B8" s="6">
        <f>IFERROR(__xludf.DUMMYFUNCTION("""COMPUTED_VALUE"""),106.0)</f>
        <v>106</v>
      </c>
      <c r="C8" s="4"/>
      <c r="D8" s="5" t="str">
        <f>IFERROR(__xludf.DUMMYFUNCTION("""COMPUTED_VALUE"""),"GM FINANCIAL SERVICES")</f>
        <v>GM FINANCIAL SERVICES</v>
      </c>
      <c r="E8" s="7">
        <f>IFERROR(__xludf.DUMMYFUNCTION("""COMPUTED_VALUE"""),82990.11)</f>
        <v>82990.11</v>
      </c>
      <c r="F8" s="4"/>
      <c r="G8" s="5" t="str">
        <f>IFERROR(__xludf.DUMMYFUNCTION("""COMPUTED_VALUE"""),"TRUIST BANK")</f>
        <v>TRUIST BANK</v>
      </c>
      <c r="H8" s="7">
        <f>IFERROR(__xludf.DUMMYFUNCTION("""COMPUTED_VALUE"""),259930.16)</f>
        <v>259930.16</v>
      </c>
    </row>
    <row r="9">
      <c r="A9" s="5" t="str">
        <f>IFERROR(__xludf.DUMMYFUNCTION("""COMPUTED_VALUE"""),"EXETER FINANCE CORPORATION")</f>
        <v>EXETER FINANCE CORPORATION</v>
      </c>
      <c r="B9" s="6">
        <f>IFERROR(__xludf.DUMMYFUNCTION("""COMPUTED_VALUE"""),80.0)</f>
        <v>80</v>
      </c>
      <c r="C9" s="4"/>
      <c r="D9" s="5" t="str">
        <f>IFERROR(__xludf.DUMMYFUNCTION("""COMPUTED_VALUE"""),"TD AUTO FINANCE")</f>
        <v>TD AUTO FINANCE</v>
      </c>
      <c r="E9" s="7">
        <f>IFERROR(__xludf.DUMMYFUNCTION("""COMPUTED_VALUE"""),77191.93)</f>
        <v>77191.93</v>
      </c>
      <c r="F9" s="4"/>
      <c r="G9" s="5" t="str">
        <f>IFERROR(__xludf.DUMMYFUNCTION("""COMPUTED_VALUE"""),"TD AUTO FINANCE")</f>
        <v>TD AUTO FINANCE</v>
      </c>
      <c r="H9" s="7">
        <f>IFERROR(__xludf.DUMMYFUNCTION("""COMPUTED_VALUE"""),194626.14)</f>
        <v>194626.14</v>
      </c>
    </row>
    <row r="10">
      <c r="A10" s="5" t="str">
        <f>IFERROR(__xludf.DUMMYFUNCTION("""COMPUTED_VALUE"""),"TRUIST BANK")</f>
        <v>TRUIST BANK</v>
      </c>
      <c r="B10" s="6">
        <f>IFERROR(__xludf.DUMMYFUNCTION("""COMPUTED_VALUE"""),78.0)</f>
        <v>78</v>
      </c>
      <c r="C10" s="4"/>
      <c r="D10" s="5" t="str">
        <f>IFERROR(__xludf.DUMMYFUNCTION("""COMPUTED_VALUE"""),"REGIONAL ACCEPTANCE CORPORATION")</f>
        <v>REGIONAL ACCEPTANCE CORPORATION</v>
      </c>
      <c r="E10" s="7">
        <f>IFERROR(__xludf.DUMMYFUNCTION("""COMPUTED_VALUE"""),62995.62)</f>
        <v>62995.62</v>
      </c>
      <c r="F10" s="4"/>
      <c r="G10" s="5" t="str">
        <f>IFERROR(__xludf.DUMMYFUNCTION("""COMPUTED_VALUE"""),"RED RIVER FCU")</f>
        <v>RED RIVER FCU</v>
      </c>
      <c r="H10" s="7">
        <f>IFERROR(__xludf.DUMMYFUNCTION("""COMPUTED_VALUE"""),166215.12)</f>
        <v>166215.12</v>
      </c>
    </row>
    <row r="11">
      <c r="A11" s="5" t="str">
        <f>IFERROR(__xludf.DUMMYFUNCTION("""COMPUTED_VALUE"""),"OSF")</f>
        <v>OSF</v>
      </c>
      <c r="B11" s="6">
        <f>IFERROR(__xludf.DUMMYFUNCTION("""COMPUTED_VALUE"""),74.0)</f>
        <v>74</v>
      </c>
      <c r="C11" s="4"/>
      <c r="D11" s="5" t="str">
        <f>IFERROR(__xludf.DUMMYFUNCTION("""COMPUTED_VALUE"""),"WELLS FARGO AUTO")</f>
        <v>WELLS FARGO AUTO</v>
      </c>
      <c r="E11" s="7">
        <f>IFERROR(__xludf.DUMMYFUNCTION("""COMPUTED_VALUE"""),59172.509999999995)</f>
        <v>59172.51</v>
      </c>
      <c r="F11" s="4"/>
      <c r="G11" s="5" t="str">
        <f>IFERROR(__xludf.DUMMYFUNCTION("""COMPUTED_VALUE"""),"REGIONAL ACCEPTANCE CORPORATION")</f>
        <v>REGIONAL ACCEPTANCE CORPORATION</v>
      </c>
      <c r="H11" s="7">
        <f>IFERROR(__xludf.DUMMYFUNCTION("""COMPUTED_VALUE"""),140583.45)</f>
        <v>140583.45</v>
      </c>
    </row>
    <row r="12">
      <c r="A12" s="8" t="str">
        <f>IFERROR(__xludf.DUMMYFUNCTION("""COMPUTED_VALUE"""),"TD AUTO FINANCE")</f>
        <v>TD AUTO FINANCE</v>
      </c>
      <c r="B12" s="9">
        <f>IFERROR(__xludf.DUMMYFUNCTION("""COMPUTED_VALUE"""),72.0)</f>
        <v>72</v>
      </c>
      <c r="C12" s="4"/>
      <c r="D12" s="8" t="str">
        <f>IFERROR(__xludf.DUMMYFUNCTION("""COMPUTED_VALUE"""),"EASTMAN CU")</f>
        <v>EASTMAN CU</v>
      </c>
      <c r="E12" s="10">
        <f>IFERROR(__xludf.DUMMYFUNCTION("""COMPUTED_VALUE"""),57953.49)</f>
        <v>57953.49</v>
      </c>
      <c r="F12" s="4"/>
      <c r="G12" s="8" t="str">
        <f>IFERROR(__xludf.DUMMYFUNCTION("""COMPUTED_VALUE"""),"WELLS FARGO AUTO")</f>
        <v>WELLS FARGO AUTO</v>
      </c>
      <c r="H12" s="10">
        <f>IFERROR(__xludf.DUMMYFUNCTION("""COMPUTED_VALUE"""),137531.87)</f>
        <v>137531.87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IFERROR(__xludf.DUMMYFUNCTION("""COMPUTED_VALUE"""),353.0)</f>
        <v>353</v>
      </c>
      <c r="C2" s="17">
        <f>IFERROR(__xludf.DUMMYFUNCTION("""COMPUTED_VALUE"""),1032.47)</f>
        <v>1032.47</v>
      </c>
      <c r="D2" s="17">
        <f>IFERROR(__xludf.DUMMYFUNCTION("""COMPUTED_VALUE"""),364460.89)</f>
        <v>364460.89</v>
      </c>
      <c r="E2" s="17">
        <f>IFERROR(__xludf.DUMMYFUNCTION("""COMPUTED_VALUE"""),282.12)</f>
        <v>282.12</v>
      </c>
      <c r="F2" s="17">
        <f>IFERROR(__xludf.DUMMYFUNCTION("""COMPUTED_VALUE"""),99305.44)</f>
        <v>99305.44</v>
      </c>
      <c r="G2" s="17">
        <f>IFERROR(__xludf.DUMMYFUNCTION("""COMPUTED_VALUE"""),1317.52)</f>
        <v>1317.52</v>
      </c>
      <c r="H2" s="17">
        <f>IFERROR(__xludf.DUMMYFUNCTION("""COMPUTED_VALUE"""),463766.33)</f>
        <v>463766.33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IFERROR(__xludf.DUMMYFUNCTION("""COMPUTED_VALUE"""),240.0)</f>
        <v>240</v>
      </c>
      <c r="C3" s="17">
        <f>IFERROR(__xludf.DUMMYFUNCTION("""COMPUTED_VALUE"""),-400.454)</f>
        <v>-400.454</v>
      </c>
      <c r="D3" s="17">
        <f>IFERROR(__xludf.DUMMYFUNCTION("""COMPUTED_VALUE"""),12425.74999999999)</f>
        <v>12425.75</v>
      </c>
      <c r="E3" s="17">
        <f>IFERROR(__xludf.DUMMYFUNCTION("""COMPUTED_VALUE"""),1557.6420000000003)</f>
        <v>1557.642</v>
      </c>
      <c r="F3" s="17">
        <f>IFERROR(__xludf.DUMMYFUNCTION("""COMPUTED_VALUE"""),522683.41000000003)</f>
        <v>522683.41</v>
      </c>
      <c r="G3" s="17">
        <f>IFERROR(__xludf.DUMMYFUNCTION("""COMPUTED_VALUE"""),1157.1879999999996)</f>
        <v>1157.188</v>
      </c>
      <c r="H3" s="17">
        <f>IFERROR(__xludf.DUMMYFUNCTION("""COMPUTED_VALUE"""),535109.16)</f>
        <v>535109.16</v>
      </c>
    </row>
    <row r="4">
      <c r="A4" s="15" t="str">
        <f>IFERROR(__xludf.DUMMYFUNCTION("""COMPUTED_VALUE"""),"NMAC")</f>
        <v>NMAC</v>
      </c>
      <c r="B4" s="16">
        <f>IFERROR(__xludf.DUMMYFUNCTION("""COMPUTED_VALUE"""),213.0)</f>
        <v>213</v>
      </c>
      <c r="C4" s="17">
        <f>IFERROR(__xludf.DUMMYFUNCTION("""COMPUTED_VALUE"""),259.4277777777777)</f>
        <v>259.4277778</v>
      </c>
      <c r="D4" s="17">
        <f>IFERROR(__xludf.DUMMYFUNCTION("""COMPUTED_VALUE"""),90648.34)</f>
        <v>90648.34</v>
      </c>
      <c r="E4" s="17">
        <f>IFERROR(__xludf.DUMMYFUNCTION("""COMPUTED_VALUE"""),1924.418888888889)</f>
        <v>1924.418889</v>
      </c>
      <c r="F4" s="17">
        <f>IFERROR(__xludf.DUMMYFUNCTION("""COMPUTED_VALUE"""),487962.87)</f>
        <v>487962.87</v>
      </c>
      <c r="G4" s="17">
        <f>IFERROR(__xludf.DUMMYFUNCTION("""COMPUTED_VALUE"""),2183.8455555555556)</f>
        <v>2183.845556</v>
      </c>
      <c r="H4" s="17">
        <f>IFERROR(__xludf.DUMMYFUNCTION("""COMPUTED_VALUE"""),578611.21)</f>
        <v>578611.21</v>
      </c>
    </row>
    <row r="5">
      <c r="A5" s="18" t="str">
        <f>IFERROR(__xludf.DUMMYFUNCTION("""COMPUTED_VALUE"""),"SANTANDER CONSUMER USA")</f>
        <v>SANTANDER CONSUMER USA</v>
      </c>
      <c r="B5" s="16">
        <f>IFERROR(__xludf.DUMMYFUNCTION("""COMPUTED_VALUE"""),172.0)</f>
        <v>172</v>
      </c>
      <c r="C5" s="17">
        <f>IFERROR(__xludf.DUMMYFUNCTION("""COMPUTED_VALUE"""),-312.65857142857146)</f>
        <v>-312.6585714</v>
      </c>
      <c r="D5" s="17">
        <f>IFERROR(__xludf.DUMMYFUNCTION("""COMPUTED_VALUE"""),-72268.69)</f>
        <v>-72268.69</v>
      </c>
      <c r="E5" s="17">
        <f>IFERROR(__xludf.DUMMYFUNCTION("""COMPUTED_VALUE"""),2645.9900000000002)</f>
        <v>2645.99</v>
      </c>
      <c r="F5" s="17">
        <f>IFERROR(__xludf.DUMMYFUNCTION("""COMPUTED_VALUE"""),382122.62000000005)</f>
        <v>382122.62</v>
      </c>
      <c r="G5" s="17">
        <f>IFERROR(__xludf.DUMMYFUNCTION("""COMPUTED_VALUE"""),2333.3285714285716)</f>
        <v>2333.328571</v>
      </c>
      <c r="H5" s="17">
        <f>IFERROR(__xludf.DUMMYFUNCTION("""COMPUTED_VALUE"""),309853.93000000005)</f>
        <v>309853.93</v>
      </c>
    </row>
    <row r="6">
      <c r="A6" s="18" t="str">
        <f>IFERROR(__xludf.DUMMYFUNCTION("""COMPUTED_VALUE"""),"CAPITAL ONE")</f>
        <v>CAPITAL ONE</v>
      </c>
      <c r="B6" s="16">
        <f>IFERROR(__xludf.DUMMYFUNCTION("""COMPUTED_VALUE"""),162.0)</f>
        <v>162</v>
      </c>
      <c r="C6" s="17">
        <f>IFERROR(__xludf.DUMMYFUNCTION("""COMPUTED_VALUE"""),571.298888888889)</f>
        <v>571.2988889</v>
      </c>
      <c r="D6" s="17">
        <f>IFERROR(__xludf.DUMMYFUNCTION("""COMPUTED_VALUE"""),91947.12999999999)</f>
        <v>91947.13</v>
      </c>
      <c r="E6" s="17">
        <f>IFERROR(__xludf.DUMMYFUNCTION("""COMPUTED_VALUE"""),2792.463333333333)</f>
        <v>2792.463333</v>
      </c>
      <c r="F6" s="17">
        <f>IFERROR(__xludf.DUMMYFUNCTION("""COMPUTED_VALUE"""),412181.23000000004)</f>
        <v>412181.23</v>
      </c>
      <c r="G6" s="17">
        <f>IFERROR(__xludf.DUMMYFUNCTION("""COMPUTED_VALUE"""),3363.762222222222)</f>
        <v>3363.762222</v>
      </c>
      <c r="H6" s="17">
        <f>IFERROR(__xludf.DUMMYFUNCTION("""COMPUTED_VALUE"""),504128.3599999999)</f>
        <v>504128.36</v>
      </c>
    </row>
    <row r="7">
      <c r="A7" s="15" t="str">
        <f>IFERROR(__xludf.DUMMYFUNCTION("""COMPUTED_VALUE"""),"ALLY FINANCIAL")</f>
        <v>ALLY FINANCIAL</v>
      </c>
      <c r="B7" s="16">
        <f>IFERROR(__xludf.DUMMYFUNCTION("""COMPUTED_VALUE"""),106.0)</f>
        <v>106</v>
      </c>
      <c r="C7" s="17">
        <f>IFERROR(__xludf.DUMMYFUNCTION("""COMPUTED_VALUE"""),242.97000000000006)</f>
        <v>242.97</v>
      </c>
      <c r="D7" s="17">
        <f>IFERROR(__xludf.DUMMYFUNCTION("""COMPUTED_VALUE"""),88323.84000000001)</f>
        <v>88323.84</v>
      </c>
      <c r="E7" s="17">
        <f>IFERROR(__xludf.DUMMYFUNCTION("""COMPUTED_VALUE"""),2857.7712500000002)</f>
        <v>2857.77125</v>
      </c>
      <c r="F7" s="17">
        <f>IFERROR(__xludf.DUMMYFUNCTION("""COMPUTED_VALUE"""),296296.72000000003)</f>
        <v>296296.72</v>
      </c>
      <c r="G7" s="17">
        <f>IFERROR(__xludf.DUMMYFUNCTION("""COMPUTED_VALUE"""),3100.7400000000002)</f>
        <v>3100.74</v>
      </c>
      <c r="H7" s="17">
        <f>IFERROR(__xludf.DUMMYFUNCTION("""COMPUTED_VALUE"""),384620.56)</f>
        <v>384620.56</v>
      </c>
    </row>
    <row r="8">
      <c r="A8" s="15" t="str">
        <f>IFERROR(__xludf.DUMMYFUNCTION("""COMPUTED_VALUE"""),"EXETER FINANCE CORPORATION")</f>
        <v>EXETER FINANCE CORPORATION</v>
      </c>
      <c r="B8" s="16">
        <f>IFERROR(__xludf.DUMMYFUNCTION("""COMPUTED_VALUE"""),80.0)</f>
        <v>80</v>
      </c>
      <c r="C8" s="17">
        <f>IFERROR(__xludf.DUMMYFUNCTION("""COMPUTED_VALUE"""),438.5477777777778)</f>
        <v>438.5477778</v>
      </c>
      <c r="D8" s="17">
        <f>IFERROR(__xludf.DUMMYFUNCTION("""COMPUTED_VALUE"""),-1679.950000000007)</f>
        <v>-1679.95</v>
      </c>
      <c r="E8" s="17">
        <f>IFERROR(__xludf.DUMMYFUNCTION("""COMPUTED_VALUE"""),1453.61)</f>
        <v>1453.61</v>
      </c>
      <c r="F8" s="17">
        <f>IFERROR(__xludf.DUMMYFUNCTION("""COMPUTED_VALUE"""),124082.48)</f>
        <v>124082.48</v>
      </c>
      <c r="G8" s="17">
        <f>IFERROR(__xludf.DUMMYFUNCTION("""COMPUTED_VALUE"""),1892.158888888889)</f>
        <v>1892.158889</v>
      </c>
      <c r="H8" s="17">
        <f>IFERROR(__xludf.DUMMYFUNCTION("""COMPUTED_VALUE"""),122402.53)</f>
        <v>122402.53</v>
      </c>
    </row>
    <row r="9">
      <c r="A9" s="15" t="str">
        <f>IFERROR(__xludf.DUMMYFUNCTION("""COMPUTED_VALUE"""),"TRUIST BANK")</f>
        <v>TRUIST BANK</v>
      </c>
      <c r="B9" s="16">
        <f>IFERROR(__xludf.DUMMYFUNCTION("""COMPUTED_VALUE"""),78.0)</f>
        <v>78</v>
      </c>
      <c r="C9" s="17">
        <f>IFERROR(__xludf.DUMMYFUNCTION("""COMPUTED_VALUE"""),45.91090909090909)</f>
        <v>45.91090909</v>
      </c>
      <c r="D9" s="17">
        <f>IFERROR(__xludf.DUMMYFUNCTION("""COMPUTED_VALUE"""),47050.31)</f>
        <v>47050.31</v>
      </c>
      <c r="E9" s="17">
        <f>IFERROR(__xludf.DUMMYFUNCTION("""COMPUTED_VALUE"""),3131.504545454545)</f>
        <v>3131.504545</v>
      </c>
      <c r="F9" s="17">
        <f>IFERROR(__xludf.DUMMYFUNCTION("""COMPUTED_VALUE"""),259930.16)</f>
        <v>259930.16</v>
      </c>
      <c r="G9" s="17">
        <f>IFERROR(__xludf.DUMMYFUNCTION("""COMPUTED_VALUE"""),3177.4154545454544)</f>
        <v>3177.415455</v>
      </c>
      <c r="H9" s="17">
        <f>IFERROR(__xludf.DUMMYFUNCTION("""COMPUTED_VALUE"""),306980.47000000003)</f>
        <v>306980.47</v>
      </c>
    </row>
    <row r="10">
      <c r="A10" s="18" t="str">
        <f>IFERROR(__xludf.DUMMYFUNCTION("""COMPUTED_VALUE"""),"OSF")</f>
        <v>OSF</v>
      </c>
      <c r="B10" s="16">
        <f>IFERROR(__xludf.DUMMYFUNCTION("""COMPUTED_VALUE"""),74.0)</f>
        <v>74</v>
      </c>
      <c r="C10" s="17">
        <f>IFERROR(__xludf.DUMMYFUNCTION("""COMPUTED_VALUE"""),309.32)</f>
        <v>309.32</v>
      </c>
      <c r="D10" s="17">
        <f>IFERROR(__xludf.DUMMYFUNCTION("""COMPUTED_VALUE"""),22889.37)</f>
        <v>22889.37</v>
      </c>
      <c r="E10" s="17">
        <f>IFERROR(__xludf.DUMMYFUNCTION("""COMPUTED_VALUE"""),173.88)</f>
        <v>173.88</v>
      </c>
      <c r="F10" s="17">
        <f>IFERROR(__xludf.DUMMYFUNCTION("""COMPUTED_VALUE"""),12867.4)</f>
        <v>12867.4</v>
      </c>
      <c r="G10" s="17">
        <f>IFERROR(__xludf.DUMMYFUNCTION("""COMPUTED_VALUE"""),483.2)</f>
        <v>483.2</v>
      </c>
      <c r="H10" s="17">
        <f>IFERROR(__xludf.DUMMYFUNCTION("""COMPUTED_VALUE"""),35756.77)</f>
        <v>35756.77</v>
      </c>
    </row>
    <row r="11">
      <c r="A11" s="18" t="str">
        <f>IFERROR(__xludf.DUMMYFUNCTION("""COMPUTED_VALUE"""),"TD AUTO FINANCE")</f>
        <v>TD AUTO FINANCE</v>
      </c>
      <c r="B11" s="16">
        <f>IFERROR(__xludf.DUMMYFUNCTION("""COMPUTED_VALUE"""),72.0)</f>
        <v>72</v>
      </c>
      <c r="C11" s="17">
        <f>IFERROR(__xludf.DUMMYFUNCTION("""COMPUTED_VALUE"""),888.49)</f>
        <v>888.49</v>
      </c>
      <c r="D11" s="17">
        <f>IFERROR(__xludf.DUMMYFUNCTION("""COMPUTED_VALUE"""),77191.93)</f>
        <v>77191.93</v>
      </c>
      <c r="E11" s="17">
        <f>IFERROR(__xludf.DUMMYFUNCTION("""COMPUTED_VALUE"""),2542.9260000000004)</f>
        <v>2542.926</v>
      </c>
      <c r="F11" s="17">
        <f>IFERROR(__xludf.DUMMYFUNCTION("""COMPUTED_VALUE"""),194626.14)</f>
        <v>194626.14</v>
      </c>
      <c r="G11" s="17">
        <f>IFERROR(__xludf.DUMMYFUNCTION("""COMPUTED_VALUE"""),3431.4139999999998)</f>
        <v>3431.414</v>
      </c>
      <c r="H11" s="17">
        <f>IFERROR(__xludf.DUMMYFUNCTION("""COMPUTED_VALUE"""),271818.06999999995)</f>
        <v>271818.07</v>
      </c>
    </row>
    <row r="12">
      <c r="A12" s="18" t="str">
        <f>IFERROR(__xludf.DUMMYFUNCTION("""COMPUTED_VALUE"""),"WELLS FARGO AUTO")</f>
        <v>WELLS FARGO AUTO</v>
      </c>
      <c r="B12" s="16">
        <f>IFERROR(__xludf.DUMMYFUNCTION("""COMPUTED_VALUE"""),67.0)</f>
        <v>67</v>
      </c>
      <c r="C12" s="17">
        <f>IFERROR(__xludf.DUMMYFUNCTION("""COMPUTED_VALUE"""),841.96)</f>
        <v>841.96</v>
      </c>
      <c r="D12" s="17">
        <f>IFERROR(__xludf.DUMMYFUNCTION("""COMPUTED_VALUE"""),59172.509999999995)</f>
        <v>59172.51</v>
      </c>
      <c r="E12" s="17">
        <f>IFERROR(__xludf.DUMMYFUNCTION("""COMPUTED_VALUE"""),1853.4074999999998)</f>
        <v>1853.4075</v>
      </c>
      <c r="F12" s="17">
        <f>IFERROR(__xludf.DUMMYFUNCTION("""COMPUTED_VALUE"""),137531.87)</f>
        <v>137531.87</v>
      </c>
      <c r="G12" s="17">
        <f>IFERROR(__xludf.DUMMYFUNCTION("""COMPUTED_VALUE"""),2695.36625)</f>
        <v>2695.36625</v>
      </c>
      <c r="H12" s="17">
        <f>IFERROR(__xludf.DUMMYFUNCTION("""COMPUTED_VALUE"""),196704.37999999998)</f>
        <v>196704.38</v>
      </c>
    </row>
    <row r="13">
      <c r="A13" s="18" t="str">
        <f>IFERROR(__xludf.DUMMYFUNCTION("""COMPUTED_VALUE"""),"REGIONAL ACCEPTANCE CORPORATION")</f>
        <v>REGIONAL ACCEPTANCE CORPORATION</v>
      </c>
      <c r="B13" s="16">
        <f>IFERROR(__xludf.DUMMYFUNCTION("""COMPUTED_VALUE"""),63.0)</f>
        <v>63</v>
      </c>
      <c r="C13" s="17">
        <f>IFERROR(__xludf.DUMMYFUNCTION("""COMPUTED_VALUE"""),1665.6928571428575)</f>
        <v>1665.692857</v>
      </c>
      <c r="D13" s="17">
        <f>IFERROR(__xludf.DUMMYFUNCTION("""COMPUTED_VALUE"""),62995.62)</f>
        <v>62995.62</v>
      </c>
      <c r="E13" s="17">
        <f>IFERROR(__xludf.DUMMYFUNCTION("""COMPUTED_VALUE"""),2302.412857142857)</f>
        <v>2302.412857</v>
      </c>
      <c r="F13" s="17">
        <f>IFERROR(__xludf.DUMMYFUNCTION("""COMPUTED_VALUE"""),140583.45)</f>
        <v>140583.45</v>
      </c>
      <c r="G13" s="17">
        <f>IFERROR(__xludf.DUMMYFUNCTION("""COMPUTED_VALUE"""),3968.1057142857144)</f>
        <v>3968.105714</v>
      </c>
      <c r="H13" s="17">
        <f>IFERROR(__xludf.DUMMYFUNCTION("""COMPUTED_VALUE"""),203579.07)</f>
        <v>203579.07</v>
      </c>
    </row>
    <row r="14">
      <c r="A14" s="18" t="str">
        <f>IFERROR(__xludf.DUMMYFUNCTION("""COMPUTED_VALUE"""),"EASTMAN CU")</f>
        <v>EASTMAN CU</v>
      </c>
      <c r="B14" s="16">
        <f>IFERROR(__xludf.DUMMYFUNCTION("""COMPUTED_VALUE"""),59.0)</f>
        <v>59</v>
      </c>
      <c r="C14" s="17">
        <f>IFERROR(__xludf.DUMMYFUNCTION("""COMPUTED_VALUE"""),949.4066666666668)</f>
        <v>949.4066667</v>
      </c>
      <c r="D14" s="17">
        <f>IFERROR(__xludf.DUMMYFUNCTION("""COMPUTED_VALUE"""),57953.49)</f>
        <v>57953.49</v>
      </c>
      <c r="E14" s="17">
        <f>IFERROR(__xludf.DUMMYFUNCTION("""COMPUTED_VALUE"""),2015.3566666666666)</f>
        <v>2015.356667</v>
      </c>
      <c r="F14" s="17">
        <f>IFERROR(__xludf.DUMMYFUNCTION("""COMPUTED_VALUE"""),116907.22)</f>
        <v>116907.22</v>
      </c>
      <c r="G14" s="17">
        <f>IFERROR(__xludf.DUMMYFUNCTION("""COMPUTED_VALUE"""),2964.76)</f>
        <v>2964.76</v>
      </c>
      <c r="H14" s="17">
        <f>IFERROR(__xludf.DUMMYFUNCTION("""COMPUTED_VALUE"""),174860.71)</f>
        <v>174860.71</v>
      </c>
    </row>
    <row r="15">
      <c r="A15" s="18" t="str">
        <f>IFERROR(__xludf.DUMMYFUNCTION("""COMPUTED_VALUE"""),"GLOBAL LENDING SERVICES ")</f>
        <v>GLOBAL LENDING SERVICES </v>
      </c>
      <c r="B15" s="16">
        <f>IFERROR(__xludf.DUMMYFUNCTION("""COMPUTED_VALUE"""),56.0)</f>
        <v>56</v>
      </c>
      <c r="C15" s="17">
        <f>IFERROR(__xludf.DUMMYFUNCTION("""COMPUTED_VALUE"""),-145.2355555555556)</f>
        <v>-145.2355556</v>
      </c>
      <c r="D15" s="17">
        <f>IFERROR(__xludf.DUMMYFUNCTION("""COMPUTED_VALUE"""),-17990.939999999995)</f>
        <v>-17990.94</v>
      </c>
      <c r="E15" s="17">
        <f>IFERROR(__xludf.DUMMYFUNCTION("""COMPUTED_VALUE"""),1936.0355555555554)</f>
        <v>1936.035556</v>
      </c>
      <c r="F15" s="17">
        <f>IFERROR(__xludf.DUMMYFUNCTION("""COMPUTED_VALUE"""),117767.76999999999)</f>
        <v>117767.77</v>
      </c>
      <c r="G15" s="17">
        <f>IFERROR(__xludf.DUMMYFUNCTION("""COMPUTED_VALUE"""),1790.7977777777778)</f>
        <v>1790.797778</v>
      </c>
      <c r="H15" s="17">
        <f>IFERROR(__xludf.DUMMYFUNCTION("""COMPUTED_VALUE"""),99776.82999999999)</f>
        <v>99776.83</v>
      </c>
    </row>
    <row r="16">
      <c r="A16" s="15" t="str">
        <f>IFERROR(__xludf.DUMMYFUNCTION("""COMPUTED_VALUE"""),"RED RIVER FCU")</f>
        <v>RED RIVER FCU</v>
      </c>
      <c r="B16" s="16">
        <f>IFERROR(__xludf.DUMMYFUNCTION("""COMPUTED_VALUE"""),48.0)</f>
        <v>48</v>
      </c>
      <c r="C16" s="17">
        <f>IFERROR(__xludf.DUMMYFUNCTION("""COMPUTED_VALUE"""),-35.958333333333336)</f>
        <v>-35.95833333</v>
      </c>
      <c r="D16" s="17">
        <f>IFERROR(__xludf.DUMMYFUNCTION("""COMPUTED_VALUE"""),43027.88)</f>
        <v>43027.88</v>
      </c>
      <c r="E16" s="17">
        <f>IFERROR(__xludf.DUMMYFUNCTION("""COMPUTED_VALUE"""),3064.8050000000003)</f>
        <v>3064.805</v>
      </c>
      <c r="F16" s="17">
        <f>IFERROR(__xludf.DUMMYFUNCTION("""COMPUTED_VALUE"""),166215.12)</f>
        <v>166215.12</v>
      </c>
      <c r="G16" s="17">
        <f>IFERROR(__xludf.DUMMYFUNCTION("""COMPUTED_VALUE"""),3028.846666666667)</f>
        <v>3028.846667</v>
      </c>
      <c r="H16" s="17">
        <f>IFERROR(__xludf.DUMMYFUNCTION("""COMPUTED_VALUE"""),209243.0)</f>
        <v>209243</v>
      </c>
    </row>
    <row r="17">
      <c r="A17" s="18" t="str">
        <f>IFERROR(__xludf.DUMMYFUNCTION("""COMPUTED_VALUE"""),"VW CREDIT")</f>
        <v>VW CREDIT</v>
      </c>
      <c r="B17" s="16">
        <f>IFERROR(__xludf.DUMMYFUNCTION("""COMPUTED_VALUE"""),46.0)</f>
        <v>46</v>
      </c>
      <c r="C17" s="17">
        <f>IFERROR(__xludf.DUMMYFUNCTION("""COMPUTED_VALUE"""),662.6874999999999)</f>
        <v>662.6875</v>
      </c>
      <c r="D17" s="17">
        <f>IFERROR(__xludf.DUMMYFUNCTION("""COMPUTED_VALUE"""),37087.340000000004)</f>
        <v>37087.34</v>
      </c>
      <c r="E17" s="17">
        <f>IFERROR(__xludf.DUMMYFUNCTION("""COMPUTED_VALUE"""),1636.21)</f>
        <v>1636.21</v>
      </c>
      <c r="F17" s="17">
        <f>IFERROR(__xludf.DUMMYFUNCTION("""COMPUTED_VALUE"""),95981.63)</f>
        <v>95981.63</v>
      </c>
      <c r="G17" s="17">
        <f>IFERROR(__xludf.DUMMYFUNCTION("""COMPUTED_VALUE"""),2298.8975)</f>
        <v>2298.8975</v>
      </c>
      <c r="H17" s="17">
        <f>IFERROR(__xludf.DUMMYFUNCTION("""COMPUTED_VALUE"""),133068.96999999997)</f>
        <v>133068.97</v>
      </c>
    </row>
    <row r="18">
      <c r="A18" s="18" t="str">
        <f>IFERROR(__xludf.DUMMYFUNCTION("""COMPUTED_VALUE"""),"HYUNDAI MOTOR FINANCE")</f>
        <v>HYUNDAI MOTOR FINANCE</v>
      </c>
      <c r="B18" s="16">
        <f>IFERROR(__xludf.DUMMYFUNCTION("""COMPUTED_VALUE"""),46.0)</f>
        <v>46</v>
      </c>
      <c r="C18" s="17">
        <f>IFERROR(__xludf.DUMMYFUNCTION("""COMPUTED_VALUE"""),982.0366666666665)</f>
        <v>982.0366667</v>
      </c>
      <c r="D18" s="17">
        <f>IFERROR(__xludf.DUMMYFUNCTION("""COMPUTED_VALUE"""),55746.31999999999)</f>
        <v>55746.32</v>
      </c>
      <c r="E18" s="17">
        <f>IFERROR(__xludf.DUMMYFUNCTION("""COMPUTED_VALUE"""),1639.5033333333333)</f>
        <v>1639.503333</v>
      </c>
      <c r="F18" s="17">
        <f>IFERROR(__xludf.DUMMYFUNCTION("""COMPUTED_VALUE"""),79744.27)</f>
        <v>79744.27</v>
      </c>
      <c r="G18" s="17">
        <f>IFERROR(__xludf.DUMMYFUNCTION("""COMPUTED_VALUE"""),2621.5466666666666)</f>
        <v>2621.546667</v>
      </c>
      <c r="H18" s="17">
        <f>IFERROR(__xludf.DUMMYFUNCTION("""COMPUTED_VALUE"""),135490.59)</f>
        <v>135490.59</v>
      </c>
    </row>
    <row r="19">
      <c r="A19" s="18" t="str">
        <f>IFERROR(__xludf.DUMMYFUNCTION("""COMPUTED_VALUE"""),"#N/A")</f>
        <v>#N/A</v>
      </c>
      <c r="B19" s="16">
        <f>IFERROR(__xludf.DUMMYFUNCTION("""COMPUTED_VALUE"""),43.0)</f>
        <v>43</v>
      </c>
      <c r="C19" s="17">
        <f>IFERROR(__xludf.DUMMYFUNCTION("""COMPUTED_VALUE"""),1332.4772727272727)</f>
        <v>1332.477273</v>
      </c>
      <c r="D19" s="17">
        <f>IFERROR(__xludf.DUMMYFUNCTION("""COMPUTED_VALUE"""),42230.990000000005)</f>
        <v>42230.99</v>
      </c>
      <c r="E19" s="17">
        <f>IFERROR(__xludf.DUMMYFUNCTION("""COMPUTED_VALUE"""),2685.394545454546)</f>
        <v>2685.394545</v>
      </c>
      <c r="F19" s="17">
        <f>IFERROR(__xludf.DUMMYFUNCTION("""COMPUTED_VALUE"""),131327.30000000002)</f>
        <v>131327.3</v>
      </c>
      <c r="G19" s="17">
        <f>IFERROR(__xludf.DUMMYFUNCTION("""COMPUTED_VALUE"""),4017.8709090909088)</f>
        <v>4017.870909</v>
      </c>
      <c r="H19" s="17">
        <f>IFERROR(__xludf.DUMMYFUNCTION("""COMPUTED_VALUE"""),173558.29)</f>
        <v>173558.29</v>
      </c>
    </row>
    <row r="20">
      <c r="A20" s="18" t="str">
        <f>IFERROR(__xludf.DUMMYFUNCTION("""COMPUTED_VALUE"""),"PNC BANK")</f>
        <v>PNC BANK</v>
      </c>
      <c r="B20" s="16">
        <f>IFERROR(__xludf.DUMMYFUNCTION("""COMPUTED_VALUE"""),43.0)</f>
        <v>43</v>
      </c>
      <c r="C20" s="17">
        <f>IFERROR(__xludf.DUMMYFUNCTION("""COMPUTED_VALUE"""),849.7085714285714)</f>
        <v>849.7085714</v>
      </c>
      <c r="D20" s="17">
        <f>IFERROR(__xludf.DUMMYFUNCTION("""COMPUTED_VALUE"""),86047.84)</f>
        <v>86047.84</v>
      </c>
      <c r="E20" s="17">
        <f>IFERROR(__xludf.DUMMYFUNCTION("""COMPUTED_VALUE"""),3102.2114285714283)</f>
        <v>3102.211429</v>
      </c>
      <c r="F20" s="17">
        <f>IFERROR(__xludf.DUMMYFUNCTION("""COMPUTED_VALUE"""),134497.53)</f>
        <v>134497.53</v>
      </c>
      <c r="G20" s="17">
        <f>IFERROR(__xludf.DUMMYFUNCTION("""COMPUTED_VALUE"""),3951.917142857143)</f>
        <v>3951.917143</v>
      </c>
      <c r="H20" s="17">
        <f>IFERROR(__xludf.DUMMYFUNCTION("""COMPUTED_VALUE"""),220545.37)</f>
        <v>220545.37</v>
      </c>
    </row>
    <row r="21">
      <c r="A21" s="18" t="str">
        <f>IFERROR(__xludf.DUMMYFUNCTION("""COMPUTED_VALUE"""),"AMERICAN CREDIT ACCEPTANCE")</f>
        <v>AMERICAN CREDIT ACCEPTANCE</v>
      </c>
      <c r="B21" s="16">
        <f>IFERROR(__xludf.DUMMYFUNCTION("""COMPUTED_VALUE"""),37.0)</f>
        <v>37</v>
      </c>
      <c r="C21" s="17">
        <f>IFERROR(__xludf.DUMMYFUNCTION("""COMPUTED_VALUE"""),-1054.7499999999998)</f>
        <v>-1054.75</v>
      </c>
      <c r="D21" s="17">
        <f>IFERROR(__xludf.DUMMYFUNCTION("""COMPUTED_VALUE"""),-84796.54000000001)</f>
        <v>-84796.54</v>
      </c>
      <c r="E21" s="17">
        <f>IFERROR(__xludf.DUMMYFUNCTION("""COMPUTED_VALUE"""),2434.39)</f>
        <v>2434.39</v>
      </c>
      <c r="F21" s="17">
        <f>IFERROR(__xludf.DUMMYFUNCTION("""COMPUTED_VALUE"""),92479.0)</f>
        <v>92479</v>
      </c>
      <c r="G21" s="17">
        <f>IFERROR(__xludf.DUMMYFUNCTION("""COMPUTED_VALUE"""),1379.64)</f>
        <v>1379.64</v>
      </c>
      <c r="H21" s="17">
        <f>IFERROR(__xludf.DUMMYFUNCTION("""COMPUTED_VALUE"""),7682.460000000001)</f>
        <v>7682.46</v>
      </c>
    </row>
    <row r="22">
      <c r="A22" s="18" t="str">
        <f>IFERROR(__xludf.DUMMYFUNCTION("""COMPUTED_VALUE"""),"GM FINANCIAL SERVICES")</f>
        <v>GM FINANCIAL SERVICES</v>
      </c>
      <c r="B22" s="16">
        <f>IFERROR(__xludf.DUMMYFUNCTION("""COMPUTED_VALUE"""),36.0)</f>
        <v>36</v>
      </c>
      <c r="C22" s="17">
        <f>IFERROR(__xludf.DUMMYFUNCTION("""COMPUTED_VALUE"""),1481.71)</f>
        <v>1481.71</v>
      </c>
      <c r="D22" s="17">
        <f>IFERROR(__xludf.DUMMYFUNCTION("""COMPUTED_VALUE"""),82990.11)</f>
        <v>82990.11</v>
      </c>
      <c r="E22" s="17">
        <f>IFERROR(__xludf.DUMMYFUNCTION("""COMPUTED_VALUE"""),2976.995)</f>
        <v>2976.995</v>
      </c>
      <c r="F22" s="17">
        <f>IFERROR(__xludf.DUMMYFUNCTION("""COMPUTED_VALUE"""),75196.9)</f>
        <v>75196.9</v>
      </c>
      <c r="G22" s="17">
        <f>IFERROR(__xludf.DUMMYFUNCTION("""COMPUTED_VALUE"""),4458.705)</f>
        <v>4458.705</v>
      </c>
      <c r="H22" s="17">
        <f>IFERROR(__xludf.DUMMYFUNCTION("""COMPUTED_VALUE"""),158187.00999999998)</f>
        <v>158187.01</v>
      </c>
    </row>
    <row r="23">
      <c r="A23" s="18" t="str">
        <f>IFERROR(__xludf.DUMMYFUNCTION("""COMPUTED_VALUE"""),"CONSUMER PORTFOLIO SERVICES")</f>
        <v>CONSUMER PORTFOLIO SERVICES</v>
      </c>
      <c r="B23" s="16">
        <f>IFERROR(__xludf.DUMMYFUNCTION("""COMPUTED_VALUE"""),31.0)</f>
        <v>31</v>
      </c>
      <c r="C23" s="17">
        <f>IFERROR(__xludf.DUMMYFUNCTION("""COMPUTED_VALUE"""),148.86166666666662)</f>
        <v>148.8616667</v>
      </c>
      <c r="D23" s="17">
        <f>IFERROR(__xludf.DUMMYFUNCTION("""COMPUTED_VALUE"""),1056.4199999999983)</f>
        <v>1056.42</v>
      </c>
      <c r="E23" s="17">
        <f>IFERROR(__xludf.DUMMYFUNCTION("""COMPUTED_VALUE"""),1952.265)</f>
        <v>1952.265</v>
      </c>
      <c r="F23" s="17">
        <f>IFERROR(__xludf.DUMMYFUNCTION("""COMPUTED_VALUE"""),62803.96)</f>
        <v>62803.96</v>
      </c>
      <c r="G23" s="17">
        <f>IFERROR(__xludf.DUMMYFUNCTION("""COMPUTED_VALUE"""),2101.1266666666666)</f>
        <v>2101.126667</v>
      </c>
      <c r="H23" s="17">
        <f>IFERROR(__xludf.DUMMYFUNCTION("""COMPUTED_VALUE"""),63860.38)</f>
        <v>63860.38</v>
      </c>
    </row>
    <row r="24">
      <c r="A24" s="18" t="str">
        <f>IFERROR(__xludf.DUMMYFUNCTION("""COMPUTED_VALUE"""),"ARVEST BANK")</f>
        <v>ARVEST BANK</v>
      </c>
      <c r="B24" s="16">
        <f>IFERROR(__xludf.DUMMYFUNCTION("""COMPUTED_VALUE"""),31.0)</f>
        <v>31</v>
      </c>
      <c r="C24" s="17">
        <f>IFERROR(__xludf.DUMMYFUNCTION("""COMPUTED_VALUE"""),-78.695)</f>
        <v>-78.695</v>
      </c>
      <c r="D24" s="17">
        <f>IFERROR(__xludf.DUMMYFUNCTION("""COMPUTED_VALUE"""),11023.31)</f>
        <v>11023.31</v>
      </c>
      <c r="E24" s="17">
        <f>IFERROR(__xludf.DUMMYFUNCTION("""COMPUTED_VALUE"""),3297.675)</f>
        <v>3297.675</v>
      </c>
      <c r="F24" s="17">
        <f>IFERROR(__xludf.DUMMYFUNCTION("""COMPUTED_VALUE"""),106044.85)</f>
        <v>106044.85</v>
      </c>
      <c r="G24" s="17">
        <f>IFERROR(__xludf.DUMMYFUNCTION("""COMPUTED_VALUE"""),3218.9799999999996)</f>
        <v>3218.98</v>
      </c>
      <c r="H24" s="17">
        <f>IFERROR(__xludf.DUMMYFUNCTION("""COMPUTED_VALUE"""),117068.16)</f>
        <v>117068.16</v>
      </c>
    </row>
    <row r="25">
      <c r="A25" s="18" t="str">
        <f>IFERROR(__xludf.DUMMYFUNCTION("""COMPUTED_VALUE"""),"MERITRUST FCU")</f>
        <v>MERITRUST FCU</v>
      </c>
      <c r="B25" s="16">
        <f>IFERROR(__xludf.DUMMYFUNCTION("""COMPUTED_VALUE"""),30.0)</f>
        <v>30</v>
      </c>
      <c r="C25" s="17">
        <f>IFERROR(__xludf.DUMMYFUNCTION("""COMPUTED_VALUE"""),1247.01)</f>
        <v>1247.01</v>
      </c>
      <c r="D25" s="17">
        <f>IFERROR(__xludf.DUMMYFUNCTION("""COMPUTED_VALUE"""),38897.38)</f>
        <v>38897.38</v>
      </c>
      <c r="E25" s="17">
        <f>IFERROR(__xludf.DUMMYFUNCTION("""COMPUTED_VALUE"""),1610.7150000000001)</f>
        <v>1610.715</v>
      </c>
      <c r="F25" s="17">
        <f>IFERROR(__xludf.DUMMYFUNCTION("""COMPUTED_VALUE"""),67090.56)</f>
        <v>67090.56</v>
      </c>
      <c r="G25" s="17">
        <f>IFERROR(__xludf.DUMMYFUNCTION("""COMPUTED_VALUE"""),2857.7250000000004)</f>
        <v>2857.725</v>
      </c>
      <c r="H25" s="17">
        <f>IFERROR(__xludf.DUMMYFUNCTION("""COMPUTED_VALUE"""),105987.94)</f>
        <v>105987.94</v>
      </c>
    </row>
    <row r="26">
      <c r="A26" s="18" t="str">
        <f>IFERROR(__xludf.DUMMYFUNCTION("""COMPUTED_VALUE"""),"AMERICAN HONDA FINANCE")</f>
        <v>AMERICAN HONDA FINANCE</v>
      </c>
      <c r="B26" s="16">
        <f>IFERROR(__xludf.DUMMYFUNCTION("""COMPUTED_VALUE"""),30.0)</f>
        <v>30</v>
      </c>
      <c r="C26" s="17">
        <f>IFERROR(__xludf.DUMMYFUNCTION("""COMPUTED_VALUE"""),909.1099999999999)</f>
        <v>909.11</v>
      </c>
      <c r="D26" s="17">
        <f>IFERROR(__xludf.DUMMYFUNCTION("""COMPUTED_VALUE"""),21911.28)</f>
        <v>21911.28</v>
      </c>
      <c r="E26" s="17">
        <f>IFERROR(__xludf.DUMMYFUNCTION("""COMPUTED_VALUE"""),1272.4650000000001)</f>
        <v>1272.465</v>
      </c>
      <c r="F26" s="17">
        <f>IFERROR(__xludf.DUMMYFUNCTION("""COMPUTED_VALUE"""),45232.09)</f>
        <v>45232.09</v>
      </c>
      <c r="G26" s="17">
        <f>IFERROR(__xludf.DUMMYFUNCTION("""COMPUTED_VALUE"""),2181.575)</f>
        <v>2181.575</v>
      </c>
      <c r="H26" s="17">
        <f>IFERROR(__xludf.DUMMYFUNCTION("""COMPUTED_VALUE"""),67143.37)</f>
        <v>67143.37</v>
      </c>
    </row>
    <row r="27">
      <c r="A27" s="18" t="str">
        <f>IFERROR(__xludf.DUMMYFUNCTION("""COMPUTED_VALUE"""),"COMMERCE BANK")</f>
        <v>COMMERCE BANK</v>
      </c>
      <c r="B27" s="16">
        <f>IFERROR(__xludf.DUMMYFUNCTION("""COMPUTED_VALUE"""),29.0)</f>
        <v>29</v>
      </c>
      <c r="C27" s="17">
        <f>IFERROR(__xludf.DUMMYFUNCTION("""COMPUTED_VALUE"""),1374.6633333333332)</f>
        <v>1374.663333</v>
      </c>
      <c r="D27" s="17">
        <f>IFERROR(__xludf.DUMMYFUNCTION("""COMPUTED_VALUE"""),26513.52)</f>
        <v>26513.52</v>
      </c>
      <c r="E27" s="17">
        <f>IFERROR(__xludf.DUMMYFUNCTION("""COMPUTED_VALUE"""),3041.666666666666)</f>
        <v>3041.666667</v>
      </c>
      <c r="F27" s="17">
        <f>IFERROR(__xludf.DUMMYFUNCTION("""COMPUTED_VALUE"""),73342.12)</f>
        <v>73342.12</v>
      </c>
      <c r="G27" s="17">
        <f>IFERROR(__xludf.DUMMYFUNCTION("""COMPUTED_VALUE"""),4416.333333333333)</f>
        <v>4416.333333</v>
      </c>
      <c r="H27" s="17">
        <f>IFERROR(__xludf.DUMMYFUNCTION("""COMPUTED_VALUE"""),99855.64)</f>
        <v>99855.64</v>
      </c>
    </row>
    <row r="28">
      <c r="A28" s="18" t="str">
        <f>IFERROR(__xludf.DUMMYFUNCTION("""COMPUTED_VALUE"""),"COMMUNICATION FCU")</f>
        <v>COMMUNICATION FCU</v>
      </c>
      <c r="B28" s="16">
        <f>IFERROR(__xludf.DUMMYFUNCTION("""COMPUTED_VALUE"""),27.0)</f>
        <v>27</v>
      </c>
      <c r="C28" s="17">
        <f>IFERROR(__xludf.DUMMYFUNCTION("""COMPUTED_VALUE"""),139.26)</f>
        <v>139.26</v>
      </c>
      <c r="D28" s="17">
        <f>IFERROR(__xludf.DUMMYFUNCTION("""COMPUTED_VALUE"""),3759.99)</f>
        <v>3759.99</v>
      </c>
      <c r="E28" s="17">
        <f>IFERROR(__xludf.DUMMYFUNCTION("""COMPUTED_VALUE"""),2366.35)</f>
        <v>2366.35</v>
      </c>
      <c r="F28" s="17">
        <f>IFERROR(__xludf.DUMMYFUNCTION("""COMPUTED_VALUE"""),63891.48)</f>
        <v>63891.48</v>
      </c>
      <c r="G28" s="17">
        <f>IFERROR(__xludf.DUMMYFUNCTION("""COMPUTED_VALUE"""),2505.61)</f>
        <v>2505.61</v>
      </c>
      <c r="H28" s="17">
        <f>IFERROR(__xludf.DUMMYFUNCTION("""COMPUTED_VALUE"""),67651.47)</f>
        <v>67651.47</v>
      </c>
    </row>
    <row r="29">
      <c r="A29" s="18" t="str">
        <f>IFERROR(__xludf.DUMMYFUNCTION("""COMPUTED_VALUE"""),"FIFTH THIRD BANK")</f>
        <v>FIFTH THIRD BANK</v>
      </c>
      <c r="B29" s="16">
        <f>IFERROR(__xludf.DUMMYFUNCTION("""COMPUTED_VALUE"""),26.0)</f>
        <v>26</v>
      </c>
      <c r="C29" s="17">
        <f>IFERROR(__xludf.DUMMYFUNCTION("""COMPUTED_VALUE"""),395.66400000000004)</f>
        <v>395.664</v>
      </c>
      <c r="D29" s="17">
        <f>IFERROR(__xludf.DUMMYFUNCTION("""COMPUTED_VALUE"""),9317.41)</f>
        <v>9317.41</v>
      </c>
      <c r="E29" s="17">
        <f>IFERROR(__xludf.DUMMYFUNCTION("""COMPUTED_VALUE"""),2250.596)</f>
        <v>2250.596</v>
      </c>
      <c r="F29" s="17">
        <f>IFERROR(__xludf.DUMMYFUNCTION("""COMPUTED_VALUE"""),54223.87)</f>
        <v>54223.87</v>
      </c>
      <c r="G29" s="17">
        <f>IFERROR(__xludf.DUMMYFUNCTION("""COMPUTED_VALUE"""),2646.2619999999997)</f>
        <v>2646.262</v>
      </c>
      <c r="H29" s="17">
        <f>IFERROR(__xludf.DUMMYFUNCTION("""COMPUTED_VALUE"""),63541.28)</f>
        <v>63541.28</v>
      </c>
    </row>
    <row r="30">
      <c r="A30" s="18" t="str">
        <f>IFERROR(__xludf.DUMMYFUNCTION("""COMPUTED_VALUE"""),"ARKANSAS FCU")</f>
        <v>ARKANSAS FCU</v>
      </c>
      <c r="B30" s="16">
        <f>IFERROR(__xludf.DUMMYFUNCTION("""COMPUTED_VALUE"""),25.0)</f>
        <v>25</v>
      </c>
      <c r="C30" s="17">
        <f>IFERROR(__xludf.DUMMYFUNCTION("""COMPUTED_VALUE"""),1435.52)</f>
        <v>1435.52</v>
      </c>
      <c r="D30" s="17">
        <f>IFERROR(__xludf.DUMMYFUNCTION("""COMPUTED_VALUE"""),35887.94)</f>
        <v>35887.94</v>
      </c>
      <c r="E30" s="17">
        <f>IFERROR(__xludf.DUMMYFUNCTION("""COMPUTED_VALUE"""),2543.29)</f>
        <v>2543.29</v>
      </c>
      <c r="F30" s="17">
        <f>IFERROR(__xludf.DUMMYFUNCTION("""COMPUTED_VALUE"""),63582.21)</f>
        <v>63582.21</v>
      </c>
      <c r="G30" s="17">
        <f>IFERROR(__xludf.DUMMYFUNCTION("""COMPUTED_VALUE"""),3978.81)</f>
        <v>3978.81</v>
      </c>
      <c r="H30" s="17">
        <f>IFERROR(__xludf.DUMMYFUNCTION("""COMPUTED_VALUE"""),99470.15)</f>
        <v>99470.15</v>
      </c>
    </row>
    <row r="31">
      <c r="A31" s="18" t="str">
        <f>IFERROR(__xludf.DUMMYFUNCTION("""COMPUTED_VALUE"""),"CHRYSLER CAPITAL")</f>
        <v>CHRYSLER CAPITAL</v>
      </c>
      <c r="B31" s="16">
        <f>IFERROR(__xludf.DUMMYFUNCTION("""COMPUTED_VALUE"""),22.0)</f>
        <v>22</v>
      </c>
      <c r="C31" s="17">
        <f>IFERROR(__xludf.DUMMYFUNCTION("""COMPUTED_VALUE"""),892.1624999999999)</f>
        <v>892.1625</v>
      </c>
      <c r="D31" s="17">
        <f>IFERROR(__xludf.DUMMYFUNCTION("""COMPUTED_VALUE"""),26044.09)</f>
        <v>26044.09</v>
      </c>
      <c r="E31" s="17">
        <f>IFERROR(__xludf.DUMMYFUNCTION("""COMPUTED_VALUE"""),2219.0675)</f>
        <v>2219.0675</v>
      </c>
      <c r="F31" s="17">
        <f>IFERROR(__xludf.DUMMYFUNCTION("""COMPUTED_VALUE"""),49714.76)</f>
        <v>49714.76</v>
      </c>
      <c r="G31" s="17">
        <f>IFERROR(__xludf.DUMMYFUNCTION("""COMPUTED_VALUE"""),3111.23)</f>
        <v>3111.23</v>
      </c>
      <c r="H31" s="17">
        <f>IFERROR(__xludf.DUMMYFUNCTION("""COMPUTED_VALUE"""),75758.85)</f>
        <v>75758.85</v>
      </c>
    </row>
    <row r="32">
      <c r="A32" s="18" t="str">
        <f>IFERROR(__xludf.DUMMYFUNCTION("""COMPUTED_VALUE"""),"BARKSDALE FCU")</f>
        <v>BARKSDALE FCU</v>
      </c>
      <c r="B32" s="16">
        <f>IFERROR(__xludf.DUMMYFUNCTION("""COMPUTED_VALUE"""),20.0)</f>
        <v>20</v>
      </c>
      <c r="C32" s="17">
        <f>IFERROR(__xludf.DUMMYFUNCTION("""COMPUTED_VALUE"""),124.88)</f>
        <v>124.88</v>
      </c>
      <c r="D32" s="17">
        <f>IFERROR(__xludf.DUMMYFUNCTION("""COMPUTED_VALUE"""),20474.45)</f>
        <v>20474.45</v>
      </c>
      <c r="E32" s="17">
        <f>IFERROR(__xludf.DUMMYFUNCTION("""COMPUTED_VALUE"""),2472.725)</f>
        <v>2472.725</v>
      </c>
      <c r="F32" s="17">
        <f>IFERROR(__xludf.DUMMYFUNCTION("""COMPUTED_VALUE"""),38228.32)</f>
        <v>38228.32</v>
      </c>
      <c r="G32" s="17">
        <f>IFERROR(__xludf.DUMMYFUNCTION("""COMPUTED_VALUE"""),2597.605)</f>
        <v>2597.605</v>
      </c>
      <c r="H32" s="17">
        <f>IFERROR(__xludf.DUMMYFUNCTION("""COMPUTED_VALUE"""),58702.770000000004)</f>
        <v>58702.77</v>
      </c>
    </row>
    <row r="33">
      <c r="A33" s="18" t="str">
        <f>IFERROR(__xludf.DUMMYFUNCTION("""COMPUTED_VALUE"""),"WESTLAKE FINANCIAL SERVICES")</f>
        <v>WESTLAKE FINANCIAL SERVICES</v>
      </c>
      <c r="B33" s="16">
        <f>IFERROR(__xludf.DUMMYFUNCTION("""COMPUTED_VALUE"""),19.0)</f>
        <v>19</v>
      </c>
      <c r="C33" s="17">
        <f>IFERROR(__xludf.DUMMYFUNCTION("""COMPUTED_VALUE"""),932.234)</f>
        <v>932.234</v>
      </c>
      <c r="D33" s="17">
        <f>IFERROR(__xludf.DUMMYFUNCTION("""COMPUTED_VALUE"""),30529.769999999997)</f>
        <v>30529.77</v>
      </c>
      <c r="E33" s="17">
        <f>IFERROR(__xludf.DUMMYFUNCTION("""COMPUTED_VALUE"""),489.48999999999995)</f>
        <v>489.49</v>
      </c>
      <c r="F33" s="17">
        <f>IFERROR(__xludf.DUMMYFUNCTION("""COMPUTED_VALUE"""),12630.19)</f>
        <v>12630.19</v>
      </c>
      <c r="G33" s="17">
        <f>IFERROR(__xludf.DUMMYFUNCTION("""COMPUTED_VALUE"""),1421.7240000000002)</f>
        <v>1421.724</v>
      </c>
      <c r="H33" s="17">
        <f>IFERROR(__xludf.DUMMYFUNCTION("""COMPUTED_VALUE"""),43159.96)</f>
        <v>43159.96</v>
      </c>
    </row>
    <row r="34">
      <c r="A34" s="18" t="str">
        <f>IFERROR(__xludf.DUMMYFUNCTION("""COMPUTED_VALUE"""),"JP MORGAN CHASE BANK")</f>
        <v>JP MORGAN CHASE BANK</v>
      </c>
      <c r="B34" s="16">
        <f>IFERROR(__xludf.DUMMYFUNCTION("""COMPUTED_VALUE"""),18.0)</f>
        <v>18</v>
      </c>
      <c r="C34" s="17">
        <f>IFERROR(__xludf.DUMMYFUNCTION("""COMPUTED_VALUE"""),752.0500000000001)</f>
        <v>752.05</v>
      </c>
      <c r="D34" s="17">
        <f>IFERROR(__xludf.DUMMYFUNCTION("""COMPUTED_VALUE"""),10284.51)</f>
        <v>10284.51</v>
      </c>
      <c r="E34" s="17">
        <f>IFERROR(__xludf.DUMMYFUNCTION("""COMPUTED_VALUE"""),2099.195)</f>
        <v>2099.195</v>
      </c>
      <c r="F34" s="17">
        <f>IFERROR(__xludf.DUMMYFUNCTION("""COMPUTED_VALUE"""),34827.56)</f>
        <v>34827.56</v>
      </c>
      <c r="G34" s="17">
        <f>IFERROR(__xludf.DUMMYFUNCTION("""COMPUTED_VALUE"""),2851.2450000000003)</f>
        <v>2851.245</v>
      </c>
      <c r="H34" s="17">
        <f>IFERROR(__xludf.DUMMYFUNCTION("""COMPUTED_VALUE"""),45112.07)</f>
        <v>45112.07</v>
      </c>
    </row>
    <row r="35">
      <c r="A35" s="18" t="str">
        <f>IFERROR(__xludf.DUMMYFUNCTION("""COMPUTED_VALUE"""),"TINKER FCU")</f>
        <v>TINKER FCU</v>
      </c>
      <c r="B35" s="16">
        <f>IFERROR(__xludf.DUMMYFUNCTION("""COMPUTED_VALUE"""),14.0)</f>
        <v>14</v>
      </c>
      <c r="C35" s="17">
        <f>IFERROR(__xludf.DUMMYFUNCTION("""COMPUTED_VALUE"""),602.33)</f>
        <v>602.33</v>
      </c>
      <c r="D35" s="17">
        <f>IFERROR(__xludf.DUMMYFUNCTION("""COMPUTED_VALUE"""),8432.6)</f>
        <v>8432.6</v>
      </c>
      <c r="E35" s="17">
        <f>IFERROR(__xludf.DUMMYFUNCTION("""COMPUTED_VALUE"""),2506.88)</f>
        <v>2506.88</v>
      </c>
      <c r="F35" s="17">
        <f>IFERROR(__xludf.DUMMYFUNCTION("""COMPUTED_VALUE"""),35096.37)</f>
        <v>35096.37</v>
      </c>
      <c r="G35" s="17">
        <f>IFERROR(__xludf.DUMMYFUNCTION("""COMPUTED_VALUE"""),3109.21)</f>
        <v>3109.21</v>
      </c>
      <c r="H35" s="17">
        <f>IFERROR(__xludf.DUMMYFUNCTION("""COMPUTED_VALUE"""),43528.97)</f>
        <v>43528.97</v>
      </c>
    </row>
    <row r="36">
      <c r="A36" s="15" t="str">
        <f>IFERROR(__xludf.DUMMYFUNCTION("""COMPUTED_VALUE"""),"CUA")</f>
        <v>CUA</v>
      </c>
      <c r="B36" s="16">
        <f>IFERROR(__xludf.DUMMYFUNCTION("""COMPUTED_VALUE"""),13.0)</f>
        <v>13</v>
      </c>
      <c r="C36" s="17">
        <f>IFERROR(__xludf.DUMMYFUNCTION("""COMPUTED_VALUE"""),2036.63)</f>
        <v>2036.63</v>
      </c>
      <c r="D36" s="17">
        <f>IFERROR(__xludf.DUMMYFUNCTION("""COMPUTED_VALUE"""),26476.22)</f>
        <v>26476.22</v>
      </c>
      <c r="E36" s="17">
        <f>IFERROR(__xludf.DUMMYFUNCTION("""COMPUTED_VALUE"""),2372.06)</f>
        <v>2372.06</v>
      </c>
      <c r="F36" s="17">
        <f>IFERROR(__xludf.DUMMYFUNCTION("""COMPUTED_VALUE"""),30836.79)</f>
        <v>30836.79</v>
      </c>
      <c r="G36" s="17">
        <f>IFERROR(__xludf.DUMMYFUNCTION("""COMPUTED_VALUE"""),4408.69)</f>
        <v>4408.69</v>
      </c>
      <c r="H36" s="17">
        <f>IFERROR(__xludf.DUMMYFUNCTION("""COMPUTED_VALUE"""),57313.01)</f>
        <v>57313.01</v>
      </c>
    </row>
    <row r="37">
      <c r="A37" s="18" t="str">
        <f>IFERROR(__xludf.DUMMYFUNCTION("""COMPUTED_VALUE"""),"STELLANTIS FINANCIAL SERV")</f>
        <v>STELLANTIS FINANCIAL SERV</v>
      </c>
      <c r="B37" s="16">
        <f>IFERROR(__xludf.DUMMYFUNCTION("""COMPUTED_VALUE"""),12.0)</f>
        <v>12</v>
      </c>
      <c r="C37" s="17">
        <f>IFERROR(__xludf.DUMMYFUNCTION("""COMPUTED_VALUE"""),1386.5533333333333)</f>
        <v>1386.553333</v>
      </c>
      <c r="D37" s="17">
        <f>IFERROR(__xludf.DUMMYFUNCTION("""COMPUTED_VALUE"""),15604.089999999998)</f>
        <v>15604.09</v>
      </c>
      <c r="E37" s="17">
        <f>IFERROR(__xludf.DUMMYFUNCTION("""COMPUTED_VALUE"""),2839.986666666666)</f>
        <v>2839.986667</v>
      </c>
      <c r="F37" s="17">
        <f>IFERROR(__xludf.DUMMYFUNCTION("""COMPUTED_VALUE"""),34763.33)</f>
        <v>34763.33</v>
      </c>
      <c r="G37" s="17">
        <f>IFERROR(__xludf.DUMMYFUNCTION("""COMPUTED_VALUE"""),4226.536666666666)</f>
        <v>4226.536667</v>
      </c>
      <c r="H37" s="17">
        <f>IFERROR(__xludf.DUMMYFUNCTION("""COMPUTED_VALUE"""),50367.42)</f>
        <v>50367.42</v>
      </c>
    </row>
    <row r="38">
      <c r="A38" s="18" t="str">
        <f>IFERROR(__xludf.DUMMYFUNCTION("""COMPUTED_VALUE"""),"AMERICREDIT FINANCIAL SERVICES")</f>
        <v>AMERICREDIT FINANCIAL SERVICES</v>
      </c>
      <c r="B38" s="16">
        <f>IFERROR(__xludf.DUMMYFUNCTION("""COMPUTED_VALUE"""),12.0)</f>
        <v>12</v>
      </c>
      <c r="C38" s="17">
        <f>IFERROR(__xludf.DUMMYFUNCTION("""COMPUTED_VALUE"""),-52.56571428571435)</f>
        <v>-52.56571429</v>
      </c>
      <c r="D38" s="17">
        <f>IFERROR(__xludf.DUMMYFUNCTION("""COMPUTED_VALUE"""),4611.069999999999)</f>
        <v>4611.07</v>
      </c>
      <c r="E38" s="17">
        <f>IFERROR(__xludf.DUMMYFUNCTION("""COMPUTED_VALUE"""),2482.5514285714285)</f>
        <v>2482.551429</v>
      </c>
      <c r="F38" s="17">
        <f>IFERROR(__xludf.DUMMYFUNCTION("""COMPUTED_VALUE"""),29229.71)</f>
        <v>29229.71</v>
      </c>
      <c r="G38" s="17">
        <f>IFERROR(__xludf.DUMMYFUNCTION("""COMPUTED_VALUE"""),2429.9857142857145)</f>
        <v>2429.985714</v>
      </c>
      <c r="H38" s="17">
        <f>IFERROR(__xludf.DUMMYFUNCTION("""COMPUTED_VALUE"""),33840.780000000006)</f>
        <v>33840.78</v>
      </c>
    </row>
    <row r="39">
      <c r="A39" s="18" t="str">
        <f>IFERROR(__xludf.DUMMYFUNCTION("""COMPUTED_VALUE"""),"US EMPLOYEES OC FCU")</f>
        <v>US EMPLOYEES OC FCU</v>
      </c>
      <c r="B39" s="16">
        <f>IFERROR(__xludf.DUMMYFUNCTION("""COMPUTED_VALUE"""),10.0)</f>
        <v>10</v>
      </c>
      <c r="C39" s="17">
        <f>IFERROR(__xludf.DUMMYFUNCTION("""COMPUTED_VALUE"""),1702.78)</f>
        <v>1702.78</v>
      </c>
      <c r="D39" s="17">
        <f>IFERROR(__xludf.DUMMYFUNCTION("""COMPUTED_VALUE"""),17027.77)</f>
        <v>17027.77</v>
      </c>
      <c r="E39" s="17">
        <f>IFERROR(__xludf.DUMMYFUNCTION("""COMPUTED_VALUE"""),1934.13)</f>
        <v>1934.13</v>
      </c>
      <c r="F39" s="17">
        <f>IFERROR(__xludf.DUMMYFUNCTION("""COMPUTED_VALUE"""),19341.29)</f>
        <v>19341.29</v>
      </c>
      <c r="G39" s="17">
        <f>IFERROR(__xludf.DUMMYFUNCTION("""COMPUTED_VALUE"""),3636.91)</f>
        <v>3636.91</v>
      </c>
      <c r="H39" s="17">
        <f>IFERROR(__xludf.DUMMYFUNCTION("""COMPUTED_VALUE"""),36369.06)</f>
        <v>36369.06</v>
      </c>
    </row>
    <row r="40">
      <c r="A40" s="18" t="str">
        <f>IFERROR(__xludf.DUMMYFUNCTION("""COMPUTED_VALUE"""),"CAL-COM FCU")</f>
        <v>CAL-COM FCU</v>
      </c>
      <c r="B40" s="16">
        <f>IFERROR(__xludf.DUMMYFUNCTION("""COMPUTED_VALUE"""),9.0)</f>
        <v>9</v>
      </c>
      <c r="C40" s="17">
        <f>IFERROR(__xludf.DUMMYFUNCTION("""COMPUTED_VALUE"""),-473.24)</f>
        <v>-473.24</v>
      </c>
      <c r="D40" s="17">
        <f>IFERROR(__xludf.DUMMYFUNCTION("""COMPUTED_VALUE"""),-4259.19)</f>
        <v>-4259.19</v>
      </c>
      <c r="E40" s="17">
        <f>IFERROR(__xludf.DUMMYFUNCTION("""COMPUTED_VALUE"""),3011.51)</f>
        <v>3011.51</v>
      </c>
      <c r="F40" s="17">
        <f>IFERROR(__xludf.DUMMYFUNCTION("""COMPUTED_VALUE"""),27103.56)</f>
        <v>27103.56</v>
      </c>
      <c r="G40" s="17">
        <f>IFERROR(__xludf.DUMMYFUNCTION("""COMPUTED_VALUE"""),2538.26)</f>
        <v>2538.26</v>
      </c>
      <c r="H40" s="17">
        <f>IFERROR(__xludf.DUMMYFUNCTION("""COMPUTED_VALUE"""),22844.37)</f>
        <v>22844.37</v>
      </c>
    </row>
    <row r="41">
      <c r="A41" s="18" t="str">
        <f>IFERROR(__xludf.DUMMYFUNCTION("""COMPUTED_VALUE"""),"FOURSIGHT CAPITAL ")</f>
        <v>FOURSIGHT CAPITAL </v>
      </c>
      <c r="B41" s="16">
        <f>IFERROR(__xludf.DUMMYFUNCTION("""COMPUTED_VALUE"""),8.0)</f>
        <v>8</v>
      </c>
      <c r="C41" s="17">
        <f>IFERROR(__xludf.DUMMYFUNCTION("""COMPUTED_VALUE"""),1666.7333333333333)</f>
        <v>1666.733333</v>
      </c>
      <c r="D41" s="17">
        <f>IFERROR(__xludf.DUMMYFUNCTION("""COMPUTED_VALUE"""),9908.08)</f>
        <v>9908.08</v>
      </c>
      <c r="E41" s="17">
        <f>IFERROR(__xludf.DUMMYFUNCTION("""COMPUTED_VALUE"""),1376.8266666666666)</f>
        <v>1376.826667</v>
      </c>
      <c r="F41" s="17">
        <f>IFERROR(__xludf.DUMMYFUNCTION("""COMPUTED_VALUE"""),13227.16)</f>
        <v>13227.16</v>
      </c>
      <c r="G41" s="17">
        <f>IFERROR(__xludf.DUMMYFUNCTION("""COMPUTED_VALUE"""),3043.56)</f>
        <v>3043.56</v>
      </c>
      <c r="H41" s="17">
        <f>IFERROR(__xludf.DUMMYFUNCTION("""COMPUTED_VALUE"""),23135.24)</f>
        <v>23135.24</v>
      </c>
    </row>
    <row r="42">
      <c r="A42" s="18" t="str">
        <f>IFERROR(__xludf.DUMMYFUNCTION("""COMPUTED_VALUE"""),"DATCU")</f>
        <v>DATCU</v>
      </c>
      <c r="B42" s="16">
        <f>IFERROR(__xludf.DUMMYFUNCTION("""COMPUTED_VALUE"""),8.0)</f>
        <v>8</v>
      </c>
      <c r="C42" s="17">
        <f>IFERROR(__xludf.DUMMYFUNCTION("""COMPUTED_VALUE"""),682.26)</f>
        <v>682.26</v>
      </c>
      <c r="D42" s="17">
        <f>IFERROR(__xludf.DUMMYFUNCTION("""COMPUTED_VALUE"""),5458.06)</f>
        <v>5458.06</v>
      </c>
      <c r="E42" s="17">
        <f>IFERROR(__xludf.DUMMYFUNCTION("""COMPUTED_VALUE"""),2148.89)</f>
        <v>2148.89</v>
      </c>
      <c r="F42" s="17">
        <f>IFERROR(__xludf.DUMMYFUNCTION("""COMPUTED_VALUE"""),17191.15)</f>
        <v>17191.15</v>
      </c>
      <c r="G42" s="17">
        <f>IFERROR(__xludf.DUMMYFUNCTION("""COMPUTED_VALUE"""),2831.15)</f>
        <v>2831.15</v>
      </c>
      <c r="H42" s="17">
        <f>IFERROR(__xludf.DUMMYFUNCTION("""COMPUTED_VALUE"""),22649.21)</f>
        <v>22649.21</v>
      </c>
    </row>
    <row r="43">
      <c r="A43" s="18" t="str">
        <f>IFERROR(__xludf.DUMMYFUNCTION("""COMPUTED_VALUE"""),"WEOKIE FCU")</f>
        <v>WEOKIE FCU</v>
      </c>
      <c r="B43" s="16">
        <f>IFERROR(__xludf.DUMMYFUNCTION("""COMPUTED_VALUE"""),7.0)</f>
        <v>7</v>
      </c>
      <c r="C43" s="17">
        <f>IFERROR(__xludf.DUMMYFUNCTION("""COMPUTED_VALUE"""),437.71)</f>
        <v>437.71</v>
      </c>
      <c r="D43" s="17">
        <f>IFERROR(__xludf.DUMMYFUNCTION("""COMPUTED_VALUE"""),3063.98)</f>
        <v>3063.98</v>
      </c>
      <c r="E43" s="17">
        <f>IFERROR(__xludf.DUMMYFUNCTION("""COMPUTED_VALUE"""),2290.52)</f>
        <v>2290.52</v>
      </c>
      <c r="F43" s="17">
        <f>IFERROR(__xludf.DUMMYFUNCTION("""COMPUTED_VALUE"""),16033.67)</f>
        <v>16033.67</v>
      </c>
      <c r="G43" s="17">
        <f>IFERROR(__xludf.DUMMYFUNCTION("""COMPUTED_VALUE"""),2728.24)</f>
        <v>2728.24</v>
      </c>
      <c r="H43" s="17">
        <f>IFERROR(__xludf.DUMMYFUNCTION("""COMPUTED_VALUE"""),19097.65)</f>
        <v>19097.65</v>
      </c>
    </row>
    <row r="44">
      <c r="A44" s="18" t="str">
        <f>IFERROR(__xludf.DUMMYFUNCTION("""COMPUTED_VALUE"""),"FIRST HELP FINANCIAL")</f>
        <v>FIRST HELP FINANCIAL</v>
      </c>
      <c r="B44" s="16">
        <f>IFERROR(__xludf.DUMMYFUNCTION("""COMPUTED_VALUE"""),7.0)</f>
        <v>7</v>
      </c>
      <c r="C44" s="17">
        <f>IFERROR(__xludf.DUMMYFUNCTION("""COMPUTED_VALUE"""),-1637.515)</f>
        <v>-1637.515</v>
      </c>
      <c r="D44" s="17">
        <f>IFERROR(__xludf.DUMMYFUNCTION("""COMPUTED_VALUE"""),-15187.970000000001)</f>
        <v>-15187.97</v>
      </c>
      <c r="E44" s="17">
        <f>IFERROR(__xludf.DUMMYFUNCTION("""COMPUTED_VALUE"""),3516.165)</f>
        <v>3516.165</v>
      </c>
      <c r="F44" s="17">
        <f>IFERROR(__xludf.DUMMYFUNCTION("""COMPUTED_VALUE"""),27164.0)</f>
        <v>27164</v>
      </c>
      <c r="G44" s="17">
        <f>IFERROR(__xludf.DUMMYFUNCTION("""COMPUTED_VALUE"""),1878.655)</f>
        <v>1878.655</v>
      </c>
      <c r="H44" s="17">
        <f>IFERROR(__xludf.DUMMYFUNCTION("""COMPUTED_VALUE"""),11976.029999999999)</f>
        <v>11976.03</v>
      </c>
    </row>
    <row r="45">
      <c r="A45" s="18" t="str">
        <f>IFERROR(__xludf.DUMMYFUNCTION("""COMPUTED_VALUE"""),"TEXELL CU")</f>
        <v>TEXELL CU</v>
      </c>
      <c r="B45" s="16">
        <f>IFERROR(__xludf.DUMMYFUNCTION("""COMPUTED_VALUE"""),6.0)</f>
        <v>6</v>
      </c>
      <c r="C45" s="17">
        <f>IFERROR(__xludf.DUMMYFUNCTION("""COMPUTED_VALUE"""),487.47)</f>
        <v>487.47</v>
      </c>
      <c r="D45" s="17">
        <f>IFERROR(__xludf.DUMMYFUNCTION("""COMPUTED_VALUE"""),2924.83)</f>
        <v>2924.83</v>
      </c>
      <c r="E45" s="17">
        <f>IFERROR(__xludf.DUMMYFUNCTION("""COMPUTED_VALUE"""),2060.37)</f>
        <v>2060.37</v>
      </c>
      <c r="F45" s="17">
        <f>IFERROR(__xludf.DUMMYFUNCTION("""COMPUTED_VALUE"""),12362.22)</f>
        <v>12362.22</v>
      </c>
      <c r="G45" s="17">
        <f>IFERROR(__xludf.DUMMYFUNCTION("""COMPUTED_VALUE"""),2547.84)</f>
        <v>2547.84</v>
      </c>
      <c r="H45" s="17">
        <f>IFERROR(__xludf.DUMMYFUNCTION("""COMPUTED_VALUE"""),15287.05)</f>
        <v>15287.05</v>
      </c>
    </row>
    <row r="46">
      <c r="A46" s="18" t="str">
        <f>IFERROR(__xludf.DUMMYFUNCTION("""COMPUTED_VALUE"""),"CITY BANK")</f>
        <v>CITY BANK</v>
      </c>
      <c r="B46" s="16">
        <f>IFERROR(__xludf.DUMMYFUNCTION("""COMPUTED_VALUE"""),6.0)</f>
        <v>6</v>
      </c>
      <c r="C46" s="17">
        <f>IFERROR(__xludf.DUMMYFUNCTION("""COMPUTED_VALUE"""),533.67)</f>
        <v>533.67</v>
      </c>
      <c r="D46" s="17">
        <f>IFERROR(__xludf.DUMMYFUNCTION("""COMPUTED_VALUE"""),3202.04)</f>
        <v>3202.04</v>
      </c>
      <c r="E46" s="17">
        <f>IFERROR(__xludf.DUMMYFUNCTION("""COMPUTED_VALUE"""),1533.65)</f>
        <v>1533.65</v>
      </c>
      <c r="F46" s="17">
        <f>IFERROR(__xludf.DUMMYFUNCTION("""COMPUTED_VALUE"""),9201.9)</f>
        <v>9201.9</v>
      </c>
      <c r="G46" s="17">
        <f>IFERROR(__xludf.DUMMYFUNCTION("""COMPUTED_VALUE"""),2067.32)</f>
        <v>2067.32</v>
      </c>
      <c r="H46" s="17">
        <f>IFERROR(__xludf.DUMMYFUNCTION("""COMPUTED_VALUE"""),12403.94)</f>
        <v>12403.94</v>
      </c>
    </row>
    <row r="47">
      <c r="A47" s="18" t="str">
        <f>IFERROR(__xludf.DUMMYFUNCTION("""COMPUTED_VALUE"""),"CINCH AUTO FINANCE")</f>
        <v>CINCH AUTO FINANCE</v>
      </c>
      <c r="B47" s="16">
        <f>IFERROR(__xludf.DUMMYFUNCTION("""COMPUTED_VALUE"""),6.0)</f>
        <v>6</v>
      </c>
      <c r="C47" s="17">
        <f>IFERROR(__xludf.DUMMYFUNCTION("""COMPUTED_VALUE"""),-564.57)</f>
        <v>-564.57</v>
      </c>
      <c r="D47" s="17">
        <f>IFERROR(__xludf.DUMMYFUNCTION("""COMPUTED_VALUE"""),-4448.56)</f>
        <v>-4448.56</v>
      </c>
      <c r="E47" s="17">
        <f>IFERROR(__xludf.DUMMYFUNCTION("""COMPUTED_VALUE"""),5194.155)</f>
        <v>5194.155</v>
      </c>
      <c r="F47" s="17">
        <f>IFERROR(__xludf.DUMMYFUNCTION("""COMPUTED_VALUE"""),29313.26)</f>
        <v>29313.26</v>
      </c>
      <c r="G47" s="17">
        <f>IFERROR(__xludf.DUMMYFUNCTION("""COMPUTED_VALUE"""),4629.585)</f>
        <v>4629.585</v>
      </c>
      <c r="H47" s="17">
        <f>IFERROR(__xludf.DUMMYFUNCTION("""COMPUTED_VALUE"""),24864.699999999997)</f>
        <v>24864.7</v>
      </c>
    </row>
    <row r="48">
      <c r="A48" s="18" t="str">
        <f>IFERROR(__xludf.DUMMYFUNCTION("""COMPUTED_VALUE"""),"BANK OF AMERICA")</f>
        <v>BANK OF AMERICA</v>
      </c>
      <c r="B48" s="16">
        <f>IFERROR(__xludf.DUMMYFUNCTION("""COMPUTED_VALUE"""),6.0)</f>
        <v>6</v>
      </c>
      <c r="C48" s="17">
        <f>IFERROR(__xludf.DUMMYFUNCTION("""COMPUTED_VALUE"""),2928.8225)</f>
        <v>2928.8225</v>
      </c>
      <c r="D48" s="17">
        <f>IFERROR(__xludf.DUMMYFUNCTION("""COMPUTED_VALUE"""),15687.880000000001)</f>
        <v>15687.88</v>
      </c>
      <c r="E48" s="17">
        <f>IFERROR(__xludf.DUMMYFUNCTION("""COMPUTED_VALUE"""),2281.5150000000003)</f>
        <v>2281.515</v>
      </c>
      <c r="F48" s="17">
        <f>IFERROR(__xludf.DUMMYFUNCTION("""COMPUTED_VALUE"""),14276.480000000001)</f>
        <v>14276.48</v>
      </c>
      <c r="G48" s="17">
        <f>IFERROR(__xludf.DUMMYFUNCTION("""COMPUTED_VALUE"""),5210.3375)</f>
        <v>5210.3375</v>
      </c>
      <c r="H48" s="17">
        <f>IFERROR(__xludf.DUMMYFUNCTION("""COMPUTED_VALUE"""),29964.36)</f>
        <v>29964.36</v>
      </c>
    </row>
    <row r="49">
      <c r="A49" s="18" t="str">
        <f>IFERROR(__xludf.DUMMYFUNCTION("""COMPUTED_VALUE"""),"INDEPENDENT BANK")</f>
        <v>INDEPENDENT BANK</v>
      </c>
      <c r="B49" s="16">
        <f>IFERROR(__xludf.DUMMYFUNCTION("""COMPUTED_VALUE"""),5.0)</f>
        <v>5</v>
      </c>
      <c r="C49" s="17">
        <f>IFERROR(__xludf.DUMMYFUNCTION("""COMPUTED_VALUE"""),338.26)</f>
        <v>338.26</v>
      </c>
      <c r="D49" s="17">
        <f>IFERROR(__xludf.DUMMYFUNCTION("""COMPUTED_VALUE"""),1691.28)</f>
        <v>1691.28</v>
      </c>
      <c r="E49" s="17">
        <f>IFERROR(__xludf.DUMMYFUNCTION("""COMPUTED_VALUE"""),2809.84)</f>
        <v>2809.84</v>
      </c>
      <c r="F49" s="17">
        <f>IFERROR(__xludf.DUMMYFUNCTION("""COMPUTED_VALUE"""),14049.18)</f>
        <v>14049.18</v>
      </c>
      <c r="G49" s="17">
        <f>IFERROR(__xludf.DUMMYFUNCTION("""COMPUTED_VALUE"""),3148.09)</f>
        <v>3148.09</v>
      </c>
      <c r="H49" s="17">
        <f>IFERROR(__xludf.DUMMYFUNCTION("""COMPUTED_VALUE"""),15740.46)</f>
        <v>15740.46</v>
      </c>
    </row>
    <row r="50">
      <c r="A50" s="18" t="str">
        <f>IFERROR(__xludf.DUMMYFUNCTION("""COMPUTED_VALUE"""),"EAST TEXAS PROFESSIONAL CU")</f>
        <v>EAST TEXAS PROFESSIONAL CU</v>
      </c>
      <c r="B50" s="16">
        <f>IFERROR(__xludf.DUMMYFUNCTION("""COMPUTED_VALUE"""),5.0)</f>
        <v>5</v>
      </c>
      <c r="C50" s="17">
        <f>IFERROR(__xludf.DUMMYFUNCTION("""COMPUTED_VALUE"""),1418.58)</f>
        <v>1418.58</v>
      </c>
      <c r="D50" s="17">
        <f>IFERROR(__xludf.DUMMYFUNCTION("""COMPUTED_VALUE"""),7092.91)</f>
        <v>7092.91</v>
      </c>
      <c r="E50" s="17">
        <f>IFERROR(__xludf.DUMMYFUNCTION("""COMPUTED_VALUE"""),922.5)</f>
        <v>922.5</v>
      </c>
      <c r="F50" s="17">
        <f>IFERROR(__xludf.DUMMYFUNCTION("""COMPUTED_VALUE"""),4612.49)</f>
        <v>4612.49</v>
      </c>
      <c r="G50" s="17">
        <f>IFERROR(__xludf.DUMMYFUNCTION("""COMPUTED_VALUE"""),2341.08)</f>
        <v>2341.08</v>
      </c>
      <c r="H50" s="17">
        <f>IFERROR(__xludf.DUMMYFUNCTION("""COMPUTED_VALUE"""),11705.4)</f>
        <v>11705.4</v>
      </c>
    </row>
    <row r="51">
      <c r="A51" s="18" t="str">
        <f>IFERROR(__xludf.DUMMYFUNCTION("""COMPUTED_VALUE"""),"CREDIT ACCEPTANCE CORPORATION")</f>
        <v>CREDIT ACCEPTANCE CORPORATION</v>
      </c>
      <c r="B51" s="16">
        <f>IFERROR(__xludf.DUMMYFUNCTION("""COMPUTED_VALUE"""),5.0)</f>
        <v>5</v>
      </c>
      <c r="C51" s="17">
        <f>IFERROR(__xludf.DUMMYFUNCTION("""COMPUTED_VALUE"""),719.1039999999999)</f>
        <v>719.104</v>
      </c>
      <c r="D51" s="17">
        <f>IFERROR(__xludf.DUMMYFUNCTION("""COMPUTED_VALUE"""),3595.5199999999995)</f>
        <v>3595.52</v>
      </c>
      <c r="E51" s="17">
        <f>IFERROR(__xludf.DUMMYFUNCTION("""COMPUTED_VALUE"""),1105.6)</f>
        <v>1105.6</v>
      </c>
      <c r="F51" s="17">
        <f>IFERROR(__xludf.DUMMYFUNCTION("""COMPUTED_VALUE"""),5528.0)</f>
        <v>5528</v>
      </c>
      <c r="G51" s="17">
        <f>IFERROR(__xludf.DUMMYFUNCTION("""COMPUTED_VALUE"""),1824.7040000000002)</f>
        <v>1824.704</v>
      </c>
      <c r="H51" s="17">
        <f>IFERROR(__xludf.DUMMYFUNCTION("""COMPUTED_VALUE"""),9123.52)</f>
        <v>9123.52</v>
      </c>
    </row>
    <row r="52">
      <c r="A52" s="18" t="str">
        <f>IFERROR(__xludf.DUMMYFUNCTION("""COMPUTED_VALUE"""),"ADVANCIAL FCU")</f>
        <v>ADVANCIAL FCU</v>
      </c>
      <c r="B52" s="16">
        <f>IFERROR(__xludf.DUMMYFUNCTION("""COMPUTED_VALUE"""),5.0)</f>
        <v>5</v>
      </c>
      <c r="C52" s="17">
        <f>IFERROR(__xludf.DUMMYFUNCTION("""COMPUTED_VALUE"""),-2089.1)</f>
        <v>-2089.1</v>
      </c>
      <c r="D52" s="17">
        <f>IFERROR(__xludf.DUMMYFUNCTION("""COMPUTED_VALUE"""),-5224.16)</f>
        <v>-5224.16</v>
      </c>
      <c r="E52" s="17">
        <f>IFERROR(__xludf.DUMMYFUNCTION("""COMPUTED_VALUE"""),1863.0500000000002)</f>
        <v>1863.05</v>
      </c>
      <c r="F52" s="17">
        <f>IFERROR(__xludf.DUMMYFUNCTION("""COMPUTED_VALUE"""),12985.94)</f>
        <v>12985.94</v>
      </c>
      <c r="G52" s="17">
        <f>IFERROR(__xludf.DUMMYFUNCTION("""COMPUTED_VALUE"""),-226.04999999999995)</f>
        <v>-226.05</v>
      </c>
      <c r="H52" s="17">
        <f>IFERROR(__xludf.DUMMYFUNCTION("""COMPUTED_VALUE"""),7761.780000000001)</f>
        <v>7761.78</v>
      </c>
    </row>
    <row r="53">
      <c r="A53" s="18" t="str">
        <f>IFERROR(__xludf.DUMMYFUNCTION("""COMPUTED_VALUE"""),"OUACHITA VALLEY FCU")</f>
        <v>OUACHITA VALLEY FCU</v>
      </c>
      <c r="B53" s="16">
        <f>IFERROR(__xludf.DUMMYFUNCTION("""COMPUTED_VALUE"""),4.0)</f>
        <v>4</v>
      </c>
      <c r="C53" s="17">
        <f>IFERROR(__xludf.DUMMYFUNCTION("""COMPUTED_VALUE"""),394.46)</f>
        <v>394.46</v>
      </c>
      <c r="D53" s="17">
        <f>IFERROR(__xludf.DUMMYFUNCTION("""COMPUTED_VALUE"""),1577.82)</f>
        <v>1577.82</v>
      </c>
      <c r="E53" s="17">
        <f>IFERROR(__xludf.DUMMYFUNCTION("""COMPUTED_VALUE"""),2099.06)</f>
        <v>2099.06</v>
      </c>
      <c r="F53" s="17">
        <f>IFERROR(__xludf.DUMMYFUNCTION("""COMPUTED_VALUE"""),8396.22)</f>
        <v>8396.22</v>
      </c>
      <c r="G53" s="17">
        <f>IFERROR(__xludf.DUMMYFUNCTION("""COMPUTED_VALUE"""),2493.51)</f>
        <v>2493.51</v>
      </c>
      <c r="H53" s="17">
        <f>IFERROR(__xludf.DUMMYFUNCTION("""COMPUTED_VALUE"""),9974.04)</f>
        <v>9974.04</v>
      </c>
    </row>
    <row r="54">
      <c r="A54" s="18" t="str">
        <f>IFERROR(__xludf.DUMMYFUNCTION("""COMPUTED_VALUE"""),"MEMBERS CHOICE OF CENTRAL TX FCU")</f>
        <v>MEMBERS CHOICE OF CENTRAL TX FCU</v>
      </c>
      <c r="B54" s="16">
        <f>IFERROR(__xludf.DUMMYFUNCTION("""COMPUTED_VALUE"""),4.0)</f>
        <v>4</v>
      </c>
      <c r="C54" s="17">
        <f>IFERROR(__xludf.DUMMYFUNCTION("""COMPUTED_VALUE"""),3400.76)</f>
        <v>3400.76</v>
      </c>
      <c r="D54" s="17">
        <f>IFERROR(__xludf.DUMMYFUNCTION("""COMPUTED_VALUE"""),13603.03)</f>
        <v>13603.03</v>
      </c>
      <c r="E54" s="17">
        <f>IFERROR(__xludf.DUMMYFUNCTION("""COMPUTED_VALUE"""),2026.0)</f>
        <v>2026</v>
      </c>
      <c r="F54" s="17">
        <f>IFERROR(__xludf.DUMMYFUNCTION("""COMPUTED_VALUE"""),8104.01)</f>
        <v>8104.01</v>
      </c>
      <c r="G54" s="17">
        <f>IFERROR(__xludf.DUMMYFUNCTION("""COMPUTED_VALUE"""),5426.76)</f>
        <v>5426.76</v>
      </c>
      <c r="H54" s="17">
        <f>IFERROR(__xludf.DUMMYFUNCTION("""COMPUTED_VALUE"""),21707.04)</f>
        <v>21707.04</v>
      </c>
    </row>
    <row r="55">
      <c r="A55" s="18" t="str">
        <f>IFERROR(__xludf.DUMMYFUNCTION("""COMPUTED_VALUE"""),"FLAGSHIP CREDIT ACCEPTANCE")</f>
        <v>FLAGSHIP CREDIT ACCEPTANCE</v>
      </c>
      <c r="B55" s="16">
        <f>IFERROR(__xludf.DUMMYFUNCTION("""COMPUTED_VALUE"""),4.0)</f>
        <v>4</v>
      </c>
      <c r="C55" s="17">
        <f>IFERROR(__xludf.DUMMYFUNCTION("""COMPUTED_VALUE"""),2090.545)</f>
        <v>2090.545</v>
      </c>
      <c r="D55" s="17">
        <f>IFERROR(__xludf.DUMMYFUNCTION("""COMPUTED_VALUE"""),8362.17)</f>
        <v>8362.17</v>
      </c>
      <c r="E55" s="17">
        <f>IFERROR(__xludf.DUMMYFUNCTION("""COMPUTED_VALUE"""),1134.01)</f>
        <v>1134.01</v>
      </c>
      <c r="F55" s="17">
        <f>IFERROR(__xludf.DUMMYFUNCTION("""COMPUTED_VALUE"""),4536.02)</f>
        <v>4536.02</v>
      </c>
      <c r="G55" s="17">
        <f>IFERROR(__xludf.DUMMYFUNCTION("""COMPUTED_VALUE"""),3224.55)</f>
        <v>3224.55</v>
      </c>
      <c r="H55" s="17">
        <f>IFERROR(__xludf.DUMMYFUNCTION("""COMPUTED_VALUE"""),12898.189999999999)</f>
        <v>12898.19</v>
      </c>
    </row>
    <row r="56">
      <c r="A56" s="18" t="str">
        <f>IFERROR(__xludf.DUMMYFUNCTION("""COMPUTED_VALUE"""),"EDUCATORS CU")</f>
        <v>EDUCATORS CU</v>
      </c>
      <c r="B56" s="16">
        <f>IFERROR(__xludf.DUMMYFUNCTION("""COMPUTED_VALUE"""),4.0)</f>
        <v>4</v>
      </c>
      <c r="C56" s="17">
        <f>IFERROR(__xludf.DUMMYFUNCTION("""COMPUTED_VALUE"""),912.82)</f>
        <v>912.82</v>
      </c>
      <c r="D56" s="17">
        <f>IFERROR(__xludf.DUMMYFUNCTION("""COMPUTED_VALUE"""),3651.26)</f>
        <v>3651.26</v>
      </c>
      <c r="E56" s="17">
        <f>IFERROR(__xludf.DUMMYFUNCTION("""COMPUTED_VALUE"""),1293.27)</f>
        <v>1293.27</v>
      </c>
      <c r="F56" s="17">
        <f>IFERROR(__xludf.DUMMYFUNCTION("""COMPUTED_VALUE"""),5173.08)</f>
        <v>5173.08</v>
      </c>
      <c r="G56" s="17">
        <f>IFERROR(__xludf.DUMMYFUNCTION("""COMPUTED_VALUE"""),2206.09)</f>
        <v>2206.09</v>
      </c>
      <c r="H56" s="17">
        <f>IFERROR(__xludf.DUMMYFUNCTION("""COMPUTED_VALUE"""),8824.34)</f>
        <v>8824.34</v>
      </c>
    </row>
    <row r="57">
      <c r="A57" s="18" t="str">
        <f>IFERROR(__xludf.DUMMYFUNCTION("""COMPUTED_VALUE"""),"UNITED FCU")</f>
        <v>UNITED FCU</v>
      </c>
      <c r="B57" s="16">
        <f>IFERROR(__xludf.DUMMYFUNCTION("""COMPUTED_VALUE"""),3.0)</f>
        <v>3</v>
      </c>
      <c r="C57" s="17">
        <f>IFERROR(__xludf.DUMMYFUNCTION("""COMPUTED_VALUE"""),182.66500000000008)</f>
        <v>182.665</v>
      </c>
      <c r="D57" s="17">
        <f>IFERROR(__xludf.DUMMYFUNCTION("""COMPUTED_VALUE"""),2593.8600000000006)</f>
        <v>2593.86</v>
      </c>
      <c r="E57" s="17">
        <f>IFERROR(__xludf.DUMMYFUNCTION("""COMPUTED_VALUE"""),1105.59)</f>
        <v>1105.59</v>
      </c>
      <c r="F57" s="17">
        <f>IFERROR(__xludf.DUMMYFUNCTION("""COMPUTED_VALUE"""),4497.35)</f>
        <v>4497.35</v>
      </c>
      <c r="G57" s="17">
        <f>IFERROR(__xludf.DUMMYFUNCTION("""COMPUTED_VALUE"""),1288.255)</f>
        <v>1288.255</v>
      </c>
      <c r="H57" s="17">
        <f>IFERROR(__xludf.DUMMYFUNCTION("""COMPUTED_VALUE"""),7091.21)</f>
        <v>7091.21</v>
      </c>
    </row>
    <row r="58">
      <c r="A58" s="18" t="str">
        <f>IFERROR(__xludf.DUMMYFUNCTION("""COMPUTED_VALUE"""),"HEARTLAND CU")</f>
        <v>HEARTLAND CU</v>
      </c>
      <c r="B58" s="16">
        <f>IFERROR(__xludf.DUMMYFUNCTION("""COMPUTED_VALUE"""),3.0)</f>
        <v>3</v>
      </c>
      <c r="C58" s="17">
        <f>IFERROR(__xludf.DUMMYFUNCTION("""COMPUTED_VALUE"""),2301.15)</f>
        <v>2301.15</v>
      </c>
      <c r="D58" s="17">
        <f>IFERROR(__xludf.DUMMYFUNCTION("""COMPUTED_VALUE"""),6903.44)</f>
        <v>6903.44</v>
      </c>
      <c r="E58" s="17">
        <f>IFERROR(__xludf.DUMMYFUNCTION("""COMPUTED_VALUE"""),2023.66)</f>
        <v>2023.66</v>
      </c>
      <c r="F58" s="17">
        <f>IFERROR(__xludf.DUMMYFUNCTION("""COMPUTED_VALUE"""),6070.99)</f>
        <v>6070.99</v>
      </c>
      <c r="G58" s="17">
        <f>IFERROR(__xludf.DUMMYFUNCTION("""COMPUTED_VALUE"""),4324.81)</f>
        <v>4324.81</v>
      </c>
      <c r="H58" s="17">
        <f>IFERROR(__xludf.DUMMYFUNCTION("""COMPUTED_VALUE"""),12974.43)</f>
        <v>12974.43</v>
      </c>
    </row>
    <row r="59">
      <c r="A59" s="18" t="str">
        <f>IFERROR(__xludf.DUMMYFUNCTION("""COMPUTED_VALUE"""),"FINANCE POINT")</f>
        <v>FINANCE POINT</v>
      </c>
      <c r="B59" s="16">
        <f>IFERROR(__xludf.DUMMYFUNCTION("""COMPUTED_VALUE"""),3.0)</f>
        <v>3</v>
      </c>
      <c r="C59" s="17">
        <f>IFERROR(__xludf.DUMMYFUNCTION("""COMPUTED_VALUE"""),763.38)</f>
        <v>763.38</v>
      </c>
      <c r="D59" s="17">
        <f>IFERROR(__xludf.DUMMYFUNCTION("""COMPUTED_VALUE"""),2290.14)</f>
        <v>2290.14</v>
      </c>
      <c r="E59" s="17">
        <f>IFERROR(__xludf.DUMMYFUNCTION("""COMPUTED_VALUE"""),1636.67)</f>
        <v>1636.67</v>
      </c>
      <c r="F59" s="17">
        <f>IFERROR(__xludf.DUMMYFUNCTION("""COMPUTED_VALUE"""),4910.0)</f>
        <v>4910</v>
      </c>
      <c r="G59" s="17">
        <f>IFERROR(__xludf.DUMMYFUNCTION("""COMPUTED_VALUE"""),2400.05)</f>
        <v>2400.05</v>
      </c>
      <c r="H59" s="17">
        <f>IFERROR(__xludf.DUMMYFUNCTION("""COMPUTED_VALUE"""),7200.14)</f>
        <v>7200.14</v>
      </c>
    </row>
    <row r="60">
      <c r="A60" s="18" t="str">
        <f>IFERROR(__xludf.DUMMYFUNCTION("""COMPUTED_VALUE"""),"SOUTHWEST NATIONAL BANK")</f>
        <v>SOUTHWEST NATIONAL BANK</v>
      </c>
      <c r="B60" s="16">
        <f>IFERROR(__xludf.DUMMYFUNCTION("""COMPUTED_VALUE"""),2.0)</f>
        <v>2</v>
      </c>
      <c r="C60" s="17">
        <f>IFERROR(__xludf.DUMMYFUNCTION("""COMPUTED_VALUE"""),-182.87)</f>
        <v>-182.87</v>
      </c>
      <c r="D60" s="17">
        <f>IFERROR(__xludf.DUMMYFUNCTION("""COMPUTED_VALUE"""),-365.73)</f>
        <v>-365.73</v>
      </c>
      <c r="E60" s="17">
        <f>IFERROR(__xludf.DUMMYFUNCTION("""COMPUTED_VALUE"""),2325.83)</f>
        <v>2325.83</v>
      </c>
      <c r="F60" s="17">
        <f>IFERROR(__xludf.DUMMYFUNCTION("""COMPUTED_VALUE"""),4651.65)</f>
        <v>4651.65</v>
      </c>
      <c r="G60" s="17">
        <f>IFERROR(__xludf.DUMMYFUNCTION("""COMPUTED_VALUE"""),2142.96)</f>
        <v>2142.96</v>
      </c>
      <c r="H60" s="17">
        <f>IFERROR(__xludf.DUMMYFUNCTION("""COMPUTED_VALUE"""),4285.92)</f>
        <v>4285.92</v>
      </c>
    </row>
    <row r="61">
      <c r="A61" s="18" t="str">
        <f>IFERROR(__xludf.DUMMYFUNCTION("""COMPUTED_VALUE"""),"SKYWARD CU")</f>
        <v>SKYWARD CU</v>
      </c>
      <c r="B61" s="16">
        <f>IFERROR(__xludf.DUMMYFUNCTION("""COMPUTED_VALUE"""),2.0)</f>
        <v>2</v>
      </c>
      <c r="C61" s="17">
        <f>IFERROR(__xludf.DUMMYFUNCTION("""COMPUTED_VALUE"""),2457.59)</f>
        <v>2457.59</v>
      </c>
      <c r="D61" s="17">
        <f>IFERROR(__xludf.DUMMYFUNCTION("""COMPUTED_VALUE"""),4915.18)</f>
        <v>4915.18</v>
      </c>
      <c r="E61" s="17">
        <f>IFERROR(__xludf.DUMMYFUNCTION("""COMPUTED_VALUE"""),2541.52)</f>
        <v>2541.52</v>
      </c>
      <c r="F61" s="17">
        <f>IFERROR(__xludf.DUMMYFUNCTION("""COMPUTED_VALUE"""),5083.03)</f>
        <v>5083.03</v>
      </c>
      <c r="G61" s="17">
        <f>IFERROR(__xludf.DUMMYFUNCTION("""COMPUTED_VALUE"""),4999.11)</f>
        <v>4999.11</v>
      </c>
      <c r="H61" s="17">
        <f>IFERROR(__xludf.DUMMYFUNCTION("""COMPUTED_VALUE"""),9998.21)</f>
        <v>9998.21</v>
      </c>
    </row>
    <row r="62">
      <c r="A62" s="18" t="str">
        <f>IFERROR(__xludf.DUMMYFUNCTION("""COMPUTED_VALUE"""),"GREAT PLAINS FCU")</f>
        <v>GREAT PLAINS FCU</v>
      </c>
      <c r="B62" s="16">
        <f>IFERROR(__xludf.DUMMYFUNCTION("""COMPUTED_VALUE"""),2.0)</f>
        <v>2</v>
      </c>
      <c r="C62" s="17">
        <f>IFERROR(__xludf.DUMMYFUNCTION("""COMPUTED_VALUE"""),491.78999999999996)</f>
        <v>491.79</v>
      </c>
      <c r="D62" s="17">
        <f>IFERROR(__xludf.DUMMYFUNCTION("""COMPUTED_VALUE"""),983.5799999999999)</f>
        <v>983.58</v>
      </c>
      <c r="E62" s="17">
        <f>IFERROR(__xludf.DUMMYFUNCTION("""COMPUTED_VALUE"""),2010.835)</f>
        <v>2010.835</v>
      </c>
      <c r="F62" s="17">
        <f>IFERROR(__xludf.DUMMYFUNCTION("""COMPUTED_VALUE"""),4021.67)</f>
        <v>4021.67</v>
      </c>
      <c r="G62" s="17">
        <f>IFERROR(__xludf.DUMMYFUNCTION("""COMPUTED_VALUE"""),2502.625)</f>
        <v>2502.625</v>
      </c>
      <c r="H62" s="17">
        <f>IFERROR(__xludf.DUMMYFUNCTION("""COMPUTED_VALUE"""),5005.25)</f>
        <v>5005.25</v>
      </c>
    </row>
    <row r="63">
      <c r="A63" s="18" t="str">
        <f>IFERROR(__xludf.DUMMYFUNCTION("""COMPUTED_VALUE"""),"GENCO FCU")</f>
        <v>GENCO FCU</v>
      </c>
      <c r="B63" s="16">
        <f>IFERROR(__xludf.DUMMYFUNCTION("""COMPUTED_VALUE"""),2.0)</f>
        <v>2</v>
      </c>
      <c r="C63" s="17">
        <f>IFERROR(__xludf.DUMMYFUNCTION("""COMPUTED_VALUE"""),-827.31)</f>
        <v>-827.31</v>
      </c>
      <c r="D63" s="17">
        <f>IFERROR(__xludf.DUMMYFUNCTION("""COMPUTED_VALUE"""),-1654.61)</f>
        <v>-1654.61</v>
      </c>
      <c r="E63" s="17">
        <f>IFERROR(__xludf.DUMMYFUNCTION("""COMPUTED_VALUE"""),2464.39)</f>
        <v>2464.39</v>
      </c>
      <c r="F63" s="17">
        <f>IFERROR(__xludf.DUMMYFUNCTION("""COMPUTED_VALUE"""),4928.78)</f>
        <v>4928.78</v>
      </c>
      <c r="G63" s="17">
        <f>IFERROR(__xludf.DUMMYFUNCTION("""COMPUTED_VALUE"""),1637.09)</f>
        <v>1637.09</v>
      </c>
      <c r="H63" s="17">
        <f>IFERROR(__xludf.DUMMYFUNCTION("""COMPUTED_VALUE"""),3274.17)</f>
        <v>3274.17</v>
      </c>
    </row>
    <row r="64">
      <c r="A64" s="18" t="str">
        <f>IFERROR(__xludf.DUMMYFUNCTION("""COMPUTED_VALUE"""),"WICHITA FALLS TEACHERS FCU")</f>
        <v>WICHITA FALLS TEACHERS FCU</v>
      </c>
      <c r="B64" s="16">
        <f>IFERROR(__xludf.DUMMYFUNCTION("""COMPUTED_VALUE"""),1.0)</f>
        <v>1</v>
      </c>
      <c r="C64" s="17">
        <f>IFERROR(__xludf.DUMMYFUNCTION("""COMPUTED_VALUE"""),565.66)</f>
        <v>565.66</v>
      </c>
      <c r="D64" s="17">
        <f>IFERROR(__xludf.DUMMYFUNCTION("""COMPUTED_VALUE"""),565.66)</f>
        <v>565.66</v>
      </c>
      <c r="E64" s="17">
        <f>IFERROR(__xludf.DUMMYFUNCTION("""COMPUTED_VALUE"""),224.32)</f>
        <v>224.32</v>
      </c>
      <c r="F64" s="17">
        <f>IFERROR(__xludf.DUMMYFUNCTION("""COMPUTED_VALUE"""),224.32)</f>
        <v>224.32</v>
      </c>
      <c r="G64" s="17">
        <f>IFERROR(__xludf.DUMMYFUNCTION("""COMPUTED_VALUE"""),789.98)</f>
        <v>789.98</v>
      </c>
      <c r="H64" s="17">
        <f>IFERROR(__xludf.DUMMYFUNCTION("""COMPUTED_VALUE"""),789.98)</f>
        <v>789.98</v>
      </c>
    </row>
    <row r="65">
      <c r="A65" s="18" t="str">
        <f>IFERROR(__xludf.DUMMYFUNCTION("""COMPUTED_VALUE"""),"WHITE EAGLE CU")</f>
        <v>WHITE EAGLE CU</v>
      </c>
      <c r="B65" s="16">
        <f>IFERROR(__xludf.DUMMYFUNCTION("""COMPUTED_VALUE"""),1.0)</f>
        <v>1</v>
      </c>
      <c r="C65" s="17">
        <f>IFERROR(__xludf.DUMMYFUNCTION("""COMPUTED_VALUE"""),3041.29)</f>
        <v>3041.29</v>
      </c>
      <c r="D65" s="17">
        <f>IFERROR(__xludf.DUMMYFUNCTION("""COMPUTED_VALUE"""),3041.29)</f>
        <v>3041.29</v>
      </c>
      <c r="E65" s="17">
        <f>IFERROR(__xludf.DUMMYFUNCTION("""COMPUTED_VALUE"""),960.76)</f>
        <v>960.76</v>
      </c>
      <c r="F65" s="17">
        <f>IFERROR(__xludf.DUMMYFUNCTION("""COMPUTED_VALUE"""),960.76)</f>
        <v>960.76</v>
      </c>
      <c r="G65" s="17">
        <f>IFERROR(__xludf.DUMMYFUNCTION("""COMPUTED_VALUE"""),4002.05)</f>
        <v>4002.05</v>
      </c>
      <c r="H65" s="17">
        <f>IFERROR(__xludf.DUMMYFUNCTION("""COMPUTED_VALUE"""),4002.05)</f>
        <v>4002.05</v>
      </c>
    </row>
    <row r="66">
      <c r="A66" s="18" t="str">
        <f>IFERROR(__xludf.DUMMYFUNCTION("""COMPUTED_VALUE"""),"USAA FEDERAL SAVINGS BANK")</f>
        <v>USAA FEDERAL SAVINGS BANK</v>
      </c>
      <c r="B66" s="16">
        <f>IFERROR(__xludf.DUMMYFUNCTION("""COMPUTED_VALUE"""),1.0)</f>
        <v>1</v>
      </c>
      <c r="C66" s="17">
        <f>IFERROR(__xludf.DUMMYFUNCTION("""COMPUTED_VALUE"""),-996.94)</f>
        <v>-996.94</v>
      </c>
      <c r="D66" s="17">
        <f>IFERROR(__xludf.DUMMYFUNCTION("""COMPUTED_VALUE"""),-996.94)</f>
        <v>-996.94</v>
      </c>
      <c r="E66" s="17">
        <f>IFERROR(__xludf.DUMMYFUNCTION("""COMPUTED_VALUE"""),0.0)</f>
        <v>0</v>
      </c>
      <c r="F66" s="17">
        <f>IFERROR(__xludf.DUMMYFUNCTION("""COMPUTED_VALUE"""),0.0)</f>
        <v>0</v>
      </c>
      <c r="G66" s="17">
        <f>IFERROR(__xludf.DUMMYFUNCTION("""COMPUTED_VALUE"""),-996.94)</f>
        <v>-996.94</v>
      </c>
      <c r="H66" s="17">
        <f>IFERROR(__xludf.DUMMYFUNCTION("""COMPUTED_VALUE"""),-996.94)</f>
        <v>-996.94</v>
      </c>
    </row>
    <row r="67">
      <c r="A67" s="18" t="str">
        <f>IFERROR(__xludf.DUMMYFUNCTION("""COMPUTED_VALUE"""),"TULSA TEACHERS FCU")</f>
        <v>TULSA TEACHERS FCU</v>
      </c>
      <c r="B67" s="16">
        <f>IFERROR(__xludf.DUMMYFUNCTION("""COMPUTED_VALUE"""),1.0)</f>
        <v>1</v>
      </c>
      <c r="C67" s="17">
        <f>IFERROR(__xludf.DUMMYFUNCTION("""COMPUTED_VALUE"""),509.0)</f>
        <v>509</v>
      </c>
      <c r="D67" s="17">
        <f>IFERROR(__xludf.DUMMYFUNCTION("""COMPUTED_VALUE"""),509.0)</f>
        <v>509</v>
      </c>
      <c r="E67" s="17">
        <f>IFERROR(__xludf.DUMMYFUNCTION("""COMPUTED_VALUE"""),2973.12)</f>
        <v>2973.12</v>
      </c>
      <c r="F67" s="17">
        <f>IFERROR(__xludf.DUMMYFUNCTION("""COMPUTED_VALUE"""),2973.12)</f>
        <v>2973.12</v>
      </c>
      <c r="G67" s="17">
        <f>IFERROR(__xludf.DUMMYFUNCTION("""COMPUTED_VALUE"""),3482.12)</f>
        <v>3482.12</v>
      </c>
      <c r="H67" s="17">
        <f>IFERROR(__xludf.DUMMYFUNCTION("""COMPUTED_VALUE"""),3482.12)</f>
        <v>3482.12</v>
      </c>
    </row>
    <row r="68">
      <c r="A68" s="18" t="str">
        <f>IFERROR(__xludf.DUMMYFUNCTION("""COMPUTED_VALUE"""),"TEXOMA COMMUNITY CU")</f>
        <v>TEXOMA COMMUNITY CU</v>
      </c>
      <c r="B68" s="16">
        <f>IFERROR(__xludf.DUMMYFUNCTION("""COMPUTED_VALUE"""),1.0)</f>
        <v>1</v>
      </c>
      <c r="C68" s="17">
        <f>IFERROR(__xludf.DUMMYFUNCTION("""COMPUTED_VALUE"""),2208.04)</f>
        <v>2208.04</v>
      </c>
      <c r="D68" s="17">
        <f>IFERROR(__xludf.DUMMYFUNCTION("""COMPUTED_VALUE"""),2208.04)</f>
        <v>2208.04</v>
      </c>
      <c r="E68" s="17">
        <f>IFERROR(__xludf.DUMMYFUNCTION("""COMPUTED_VALUE"""),1026.44)</f>
        <v>1026.44</v>
      </c>
      <c r="F68" s="17">
        <f>IFERROR(__xludf.DUMMYFUNCTION("""COMPUTED_VALUE"""),1026.44)</f>
        <v>1026.44</v>
      </c>
      <c r="G68" s="17">
        <f>IFERROR(__xludf.DUMMYFUNCTION("""COMPUTED_VALUE"""),3234.48)</f>
        <v>3234.48</v>
      </c>
      <c r="H68" s="17">
        <f>IFERROR(__xludf.DUMMYFUNCTION("""COMPUTED_VALUE"""),3234.48)</f>
        <v>3234.48</v>
      </c>
    </row>
    <row r="69">
      <c r="A69" s="18" t="str">
        <f>IFERROR(__xludf.DUMMYFUNCTION("""COMPUTED_VALUE"""),"TEXAS DOW EMPLOYEES CU")</f>
        <v>TEXAS DOW EMPLOYEES CU</v>
      </c>
      <c r="B69" s="16">
        <f>IFERROR(__xludf.DUMMYFUNCTION("""COMPUTED_VALUE"""),1.0)</f>
        <v>1</v>
      </c>
      <c r="C69" s="17">
        <f>IFERROR(__xludf.DUMMYFUNCTION("""COMPUTED_VALUE"""),-176.83)</f>
        <v>-176.83</v>
      </c>
      <c r="D69" s="17">
        <f>IFERROR(__xludf.DUMMYFUNCTION("""COMPUTED_VALUE"""),-176.83)</f>
        <v>-176.83</v>
      </c>
      <c r="E69" s="17">
        <f>IFERROR(__xludf.DUMMYFUNCTION("""COMPUTED_VALUE"""),2879.54)</f>
        <v>2879.54</v>
      </c>
      <c r="F69" s="17">
        <f>IFERROR(__xludf.DUMMYFUNCTION("""COMPUTED_VALUE"""),2879.54)</f>
        <v>2879.54</v>
      </c>
      <c r="G69" s="17">
        <f>IFERROR(__xludf.DUMMYFUNCTION("""COMPUTED_VALUE"""),2702.71)</f>
        <v>2702.71</v>
      </c>
      <c r="H69" s="17">
        <f>IFERROR(__xludf.DUMMYFUNCTION("""COMPUTED_VALUE"""),2702.71)</f>
        <v>2702.71</v>
      </c>
    </row>
    <row r="70">
      <c r="A70" s="18" t="str">
        <f>IFERROR(__xludf.DUMMYFUNCTION("""COMPUTED_VALUE"""),"SFS LEASING LTD")</f>
        <v>SFS LEASING LTD</v>
      </c>
      <c r="B70" s="16">
        <f>IFERROR(__xludf.DUMMYFUNCTION("""COMPUTED_VALUE"""),1.0)</f>
        <v>1</v>
      </c>
      <c r="C70" s="17">
        <f>IFERROR(__xludf.DUMMYFUNCTION("""COMPUTED_VALUE"""),940.55)</f>
        <v>940.55</v>
      </c>
      <c r="D70" s="17">
        <f>IFERROR(__xludf.DUMMYFUNCTION("""COMPUTED_VALUE"""),940.55)</f>
        <v>940.55</v>
      </c>
      <c r="E70" s="17">
        <f>IFERROR(__xludf.DUMMYFUNCTION("""COMPUTED_VALUE"""),887.0)</f>
        <v>887</v>
      </c>
      <c r="F70" s="17">
        <f>IFERROR(__xludf.DUMMYFUNCTION("""COMPUTED_VALUE"""),887.0)</f>
        <v>887</v>
      </c>
      <c r="G70" s="17">
        <f>IFERROR(__xludf.DUMMYFUNCTION("""COMPUTED_VALUE"""),1827.55)</f>
        <v>1827.55</v>
      </c>
      <c r="H70" s="17">
        <f>IFERROR(__xludf.DUMMYFUNCTION("""COMPUTED_VALUE"""),1827.55)</f>
        <v>1827.55</v>
      </c>
    </row>
    <row r="71">
      <c r="A71" s="18" t="str">
        <f>IFERROR(__xludf.DUMMYFUNCTION("""COMPUTED_VALUE"""),"SAFCO")</f>
        <v>SAFCO</v>
      </c>
      <c r="B71" s="16">
        <f>IFERROR(__xludf.DUMMYFUNCTION("""COMPUTED_VALUE"""),1.0)</f>
        <v>1</v>
      </c>
      <c r="C71" s="17">
        <f>IFERROR(__xludf.DUMMYFUNCTION("""COMPUTED_VALUE"""),739.11)</f>
        <v>739.11</v>
      </c>
      <c r="D71" s="17">
        <f>IFERROR(__xludf.DUMMYFUNCTION("""COMPUTED_VALUE"""),739.11)</f>
        <v>739.11</v>
      </c>
      <c r="E71" s="17">
        <f>IFERROR(__xludf.DUMMYFUNCTION("""COMPUTED_VALUE"""),2665.0)</f>
        <v>2665</v>
      </c>
      <c r="F71" s="17">
        <f>IFERROR(__xludf.DUMMYFUNCTION("""COMPUTED_VALUE"""),2665.0)</f>
        <v>2665</v>
      </c>
      <c r="G71" s="17">
        <f>IFERROR(__xludf.DUMMYFUNCTION("""COMPUTED_VALUE"""),3404.11)</f>
        <v>3404.11</v>
      </c>
      <c r="H71" s="17">
        <f>IFERROR(__xludf.DUMMYFUNCTION("""COMPUTED_VALUE"""),3404.11)</f>
        <v>3404.11</v>
      </c>
    </row>
    <row r="72">
      <c r="A72" s="18" t="str">
        <f>IFERROR(__xludf.DUMMYFUNCTION("""COMPUTED_VALUE"""),"RANDOLPH-BROOKS FCU")</f>
        <v>RANDOLPH-BROOKS FCU</v>
      </c>
      <c r="B72" s="16">
        <f>IFERROR(__xludf.DUMMYFUNCTION("""COMPUTED_VALUE"""),1.0)</f>
        <v>1</v>
      </c>
      <c r="C72" s="17">
        <f>IFERROR(__xludf.DUMMYFUNCTION("""COMPUTED_VALUE"""),7827.98)</f>
        <v>7827.98</v>
      </c>
      <c r="D72" s="17">
        <f>IFERROR(__xludf.DUMMYFUNCTION("""COMPUTED_VALUE"""),7827.98)</f>
        <v>7827.98</v>
      </c>
      <c r="E72" s="17">
        <f>IFERROR(__xludf.DUMMYFUNCTION("""COMPUTED_VALUE"""),1597.0)</f>
        <v>1597</v>
      </c>
      <c r="F72" s="17">
        <f>IFERROR(__xludf.DUMMYFUNCTION("""COMPUTED_VALUE"""),1597.0)</f>
        <v>1597</v>
      </c>
      <c r="G72" s="17">
        <f>IFERROR(__xludf.DUMMYFUNCTION("""COMPUTED_VALUE"""),9424.98)</f>
        <v>9424.98</v>
      </c>
      <c r="H72" s="17">
        <f>IFERROR(__xludf.DUMMYFUNCTION("""COMPUTED_VALUE"""),9424.98)</f>
        <v>9424.98</v>
      </c>
    </row>
    <row r="73">
      <c r="A73" s="18" t="str">
        <f>IFERROR(__xludf.DUMMYFUNCTION("""COMPUTED_VALUE"""),"PRESTIGE FINANCIAL SERVICES")</f>
        <v>PRESTIGE FINANCIAL SERVICES</v>
      </c>
      <c r="B73" s="16">
        <f>IFERROR(__xludf.DUMMYFUNCTION("""COMPUTED_VALUE"""),1.0)</f>
        <v>1</v>
      </c>
      <c r="C73" s="17">
        <f>IFERROR(__xludf.DUMMYFUNCTION("""COMPUTED_VALUE"""),-2131.99)</f>
        <v>-2131.99</v>
      </c>
      <c r="D73" s="17">
        <f>IFERROR(__xludf.DUMMYFUNCTION("""COMPUTED_VALUE"""),-2131.99)</f>
        <v>-2131.99</v>
      </c>
      <c r="E73" s="17">
        <f>IFERROR(__xludf.DUMMYFUNCTION("""COMPUTED_VALUE"""),0.0)</f>
        <v>0</v>
      </c>
      <c r="F73" s="17">
        <f>IFERROR(__xludf.DUMMYFUNCTION("""COMPUTED_VALUE"""),0.0)</f>
        <v>0</v>
      </c>
      <c r="G73" s="17">
        <f>IFERROR(__xludf.DUMMYFUNCTION("""COMPUTED_VALUE"""),-2131.99)</f>
        <v>-2131.99</v>
      </c>
      <c r="H73" s="17">
        <f>IFERROR(__xludf.DUMMYFUNCTION("""COMPUTED_VALUE"""),-2131.99)</f>
        <v>-2131.99</v>
      </c>
    </row>
    <row r="74">
      <c r="A74" s="18" t="str">
        <f>IFERROR(__xludf.DUMMYFUNCTION("""COMPUTED_VALUE"""),"OKLAHOMA'S CU")</f>
        <v>OKLAHOMA'S CU</v>
      </c>
      <c r="B74" s="16">
        <f>IFERROR(__xludf.DUMMYFUNCTION("""COMPUTED_VALUE"""),1.0)</f>
        <v>1</v>
      </c>
      <c r="C74" s="17">
        <f>IFERROR(__xludf.DUMMYFUNCTION("""COMPUTED_VALUE"""),-2199.0)</f>
        <v>-2199</v>
      </c>
      <c r="D74" s="17">
        <f>IFERROR(__xludf.DUMMYFUNCTION("""COMPUTED_VALUE"""),-2199.0)</f>
        <v>-2199</v>
      </c>
      <c r="E74" s="17">
        <f>IFERROR(__xludf.DUMMYFUNCTION("""COMPUTED_VALUE"""),160.87)</f>
        <v>160.87</v>
      </c>
      <c r="F74" s="17">
        <f>IFERROR(__xludf.DUMMYFUNCTION("""COMPUTED_VALUE"""),160.87)</f>
        <v>160.87</v>
      </c>
      <c r="G74" s="17">
        <f>IFERROR(__xludf.DUMMYFUNCTION("""COMPUTED_VALUE"""),-2038.13)</f>
        <v>-2038.13</v>
      </c>
      <c r="H74" s="17">
        <f>IFERROR(__xludf.DUMMYFUNCTION("""COMPUTED_VALUE"""),-2038.13)</f>
        <v>-2038.13</v>
      </c>
    </row>
    <row r="75">
      <c r="A75" s="18" t="str">
        <f>IFERROR(__xludf.DUMMYFUNCTION("""COMPUTED_VALUE"""),"OKLAHOMA FCU")</f>
        <v>OKLAHOMA FCU</v>
      </c>
      <c r="B75" s="16">
        <f>IFERROR(__xludf.DUMMYFUNCTION("""COMPUTED_VALUE"""),1.0)</f>
        <v>1</v>
      </c>
      <c r="C75" s="17">
        <f>IFERROR(__xludf.DUMMYFUNCTION("""COMPUTED_VALUE"""),-2142.89)</f>
        <v>-2142.89</v>
      </c>
      <c r="D75" s="17">
        <f>IFERROR(__xludf.DUMMYFUNCTION("""COMPUTED_VALUE"""),-2142.89)</f>
        <v>-2142.89</v>
      </c>
      <c r="E75" s="17">
        <f>IFERROR(__xludf.DUMMYFUNCTION("""COMPUTED_VALUE"""),1391.0)</f>
        <v>1391</v>
      </c>
      <c r="F75" s="17">
        <f>IFERROR(__xludf.DUMMYFUNCTION("""COMPUTED_VALUE"""),1391.0)</f>
        <v>1391</v>
      </c>
      <c r="G75" s="17">
        <f>IFERROR(__xludf.DUMMYFUNCTION("""COMPUTED_VALUE"""),-751.89)</f>
        <v>-751.89</v>
      </c>
      <c r="H75" s="17">
        <f>IFERROR(__xludf.DUMMYFUNCTION("""COMPUTED_VALUE"""),-751.89)</f>
        <v>-751.89</v>
      </c>
    </row>
    <row r="76">
      <c r="A76" s="18" t="str">
        <f>IFERROR(__xludf.DUMMYFUNCTION("""COMPUTED_VALUE"""),"LIBERTY NATIONAL BANK")</f>
        <v>LIBERTY NATIONAL BANK</v>
      </c>
      <c r="B76" s="16">
        <f>IFERROR(__xludf.DUMMYFUNCTION("""COMPUTED_VALUE"""),1.0)</f>
        <v>1</v>
      </c>
      <c r="C76" s="17">
        <f>IFERROR(__xludf.DUMMYFUNCTION("""COMPUTED_VALUE"""),-2037.35)</f>
        <v>-2037.35</v>
      </c>
      <c r="D76" s="17">
        <f>IFERROR(__xludf.DUMMYFUNCTION("""COMPUTED_VALUE"""),-2037.35)</f>
        <v>-2037.35</v>
      </c>
      <c r="E76" s="17">
        <f>IFERROR(__xludf.DUMMYFUNCTION("""COMPUTED_VALUE"""),200.0)</f>
        <v>200</v>
      </c>
      <c r="F76" s="17">
        <f>IFERROR(__xludf.DUMMYFUNCTION("""COMPUTED_VALUE"""),200.0)</f>
        <v>200</v>
      </c>
      <c r="G76" s="17">
        <f>IFERROR(__xludf.DUMMYFUNCTION("""COMPUTED_VALUE"""),-1837.35)</f>
        <v>-1837.35</v>
      </c>
      <c r="H76" s="17">
        <f>IFERROR(__xludf.DUMMYFUNCTION("""COMPUTED_VALUE"""),-1837.35)</f>
        <v>-1837.35</v>
      </c>
    </row>
    <row r="77">
      <c r="A77" s="15" t="str">
        <f>IFERROR(__xludf.DUMMYFUNCTION("""COMPUTED_VALUE"""),"INTRUST BANK")</f>
        <v>INTRUST BANK</v>
      </c>
      <c r="B77" s="16">
        <f>IFERROR(__xludf.DUMMYFUNCTION("""COMPUTED_VALUE"""),1.0)</f>
        <v>1</v>
      </c>
      <c r="C77" s="17">
        <f>IFERROR(__xludf.DUMMYFUNCTION("""COMPUTED_VALUE"""),52.66)</f>
        <v>52.66</v>
      </c>
      <c r="D77" s="17">
        <f>IFERROR(__xludf.DUMMYFUNCTION("""COMPUTED_VALUE"""),52.66)</f>
        <v>52.66</v>
      </c>
      <c r="E77" s="17">
        <f>IFERROR(__xludf.DUMMYFUNCTION("""COMPUTED_VALUE"""),5066.2)</f>
        <v>5066.2</v>
      </c>
      <c r="F77" s="17">
        <f>IFERROR(__xludf.DUMMYFUNCTION("""COMPUTED_VALUE"""),5066.2)</f>
        <v>5066.2</v>
      </c>
      <c r="G77" s="17">
        <f>IFERROR(__xludf.DUMMYFUNCTION("""COMPUTED_VALUE"""),5118.86)</f>
        <v>5118.86</v>
      </c>
      <c r="H77" s="17">
        <f>IFERROR(__xludf.DUMMYFUNCTION("""COMPUTED_VALUE"""),5118.86)</f>
        <v>5118.86</v>
      </c>
    </row>
    <row r="78">
      <c r="A78" s="15" t="str">
        <f>IFERROR(__xludf.DUMMYFUNCTION("""COMPUTED_VALUE"""),"FARMERS BANK AND TRUST")</f>
        <v>FARMERS BANK AND TRUST</v>
      </c>
      <c r="B78" s="16">
        <f>IFERROR(__xludf.DUMMYFUNCTION("""COMPUTED_VALUE"""),1.0)</f>
        <v>1</v>
      </c>
      <c r="C78" s="17">
        <f>IFERROR(__xludf.DUMMYFUNCTION("""COMPUTED_VALUE"""),-668.51)</f>
        <v>-668.51</v>
      </c>
      <c r="D78" s="17">
        <f>IFERROR(__xludf.DUMMYFUNCTION("""COMPUTED_VALUE"""),-668.51)</f>
        <v>-668.51</v>
      </c>
      <c r="E78" s="17">
        <f>IFERROR(__xludf.DUMMYFUNCTION("""COMPUTED_VALUE"""),-75.0)</f>
        <v>-75</v>
      </c>
      <c r="F78" s="17">
        <f>IFERROR(__xludf.DUMMYFUNCTION("""COMPUTED_VALUE"""),-75.0)</f>
        <v>-75</v>
      </c>
      <c r="G78" s="17">
        <f>IFERROR(__xludf.DUMMYFUNCTION("""COMPUTED_VALUE"""),-743.51)</f>
        <v>-743.51</v>
      </c>
      <c r="H78" s="17">
        <f>IFERROR(__xludf.DUMMYFUNCTION("""COMPUTED_VALUE"""),-743.51)</f>
        <v>-743.51</v>
      </c>
    </row>
    <row r="79">
      <c r="A79" s="18" t="str">
        <f>IFERROR(__xludf.DUMMYFUNCTION("""COMPUTED_VALUE"""),"EXTRACO BANKS, N.A.")</f>
        <v>EXTRACO BANKS, N.A.</v>
      </c>
      <c r="B79" s="16">
        <f>IFERROR(__xludf.DUMMYFUNCTION("""COMPUTED_VALUE"""),1.0)</f>
        <v>1</v>
      </c>
      <c r="C79" s="17">
        <f>IFERROR(__xludf.DUMMYFUNCTION("""COMPUTED_VALUE"""),1748.03)</f>
        <v>1748.03</v>
      </c>
      <c r="D79" s="17">
        <f>IFERROR(__xludf.DUMMYFUNCTION("""COMPUTED_VALUE"""),1748.03)</f>
        <v>1748.03</v>
      </c>
      <c r="E79" s="17">
        <f>IFERROR(__xludf.DUMMYFUNCTION("""COMPUTED_VALUE"""),3041.5)</f>
        <v>3041.5</v>
      </c>
      <c r="F79" s="17">
        <f>IFERROR(__xludf.DUMMYFUNCTION("""COMPUTED_VALUE"""),3041.5)</f>
        <v>3041.5</v>
      </c>
      <c r="G79" s="17">
        <f>IFERROR(__xludf.DUMMYFUNCTION("""COMPUTED_VALUE"""),4789.53)</f>
        <v>4789.53</v>
      </c>
      <c r="H79" s="17">
        <f>IFERROR(__xludf.DUMMYFUNCTION("""COMPUTED_VALUE"""),4789.53)</f>
        <v>4789.53</v>
      </c>
    </row>
    <row r="80">
      <c r="A80" s="18" t="str">
        <f>IFERROR(__xludf.DUMMYFUNCTION("""COMPUTED_VALUE"""),"BOSSIER FCU")</f>
        <v>BOSSIER FCU</v>
      </c>
      <c r="B80" s="16">
        <f>IFERROR(__xludf.DUMMYFUNCTION("""COMPUTED_VALUE"""),1.0)</f>
        <v>1</v>
      </c>
      <c r="C80" s="17">
        <f>IFERROR(__xludf.DUMMYFUNCTION("""COMPUTED_VALUE"""),1313.27)</f>
        <v>1313.27</v>
      </c>
      <c r="D80" s="17">
        <f>IFERROR(__xludf.DUMMYFUNCTION("""COMPUTED_VALUE"""),1313.27)</f>
        <v>1313.27</v>
      </c>
      <c r="E80" s="17">
        <f>IFERROR(__xludf.DUMMYFUNCTION("""COMPUTED_VALUE"""),1194.0)</f>
        <v>1194</v>
      </c>
      <c r="F80" s="17">
        <f>IFERROR(__xludf.DUMMYFUNCTION("""COMPUTED_VALUE"""),1194.0)</f>
        <v>1194</v>
      </c>
      <c r="G80" s="17">
        <f>IFERROR(__xludf.DUMMYFUNCTION("""COMPUTED_VALUE"""),2507.27)</f>
        <v>2507.27</v>
      </c>
      <c r="H80" s="17">
        <f>IFERROR(__xludf.DUMMYFUNCTION("""COMPUTED_VALUE"""),2507.27)</f>
        <v>2507.27</v>
      </c>
    </row>
    <row r="81">
      <c r="A81" s="18" t="str">
        <f>IFERROR(__xludf.DUMMYFUNCTION("""COMPUTED_VALUE"""),"AUSTIN BANK TEXAS ")</f>
        <v>AUSTIN BANK TEXAS </v>
      </c>
      <c r="B81" s="16">
        <f>IFERROR(__xludf.DUMMYFUNCTION("""COMPUTED_VALUE"""),1.0)</f>
        <v>1</v>
      </c>
      <c r="C81" s="17">
        <f>IFERROR(__xludf.DUMMYFUNCTION("""COMPUTED_VALUE"""),-617.69)</f>
        <v>-617.69</v>
      </c>
      <c r="D81" s="17">
        <f>IFERROR(__xludf.DUMMYFUNCTION("""COMPUTED_VALUE"""),-617.69)</f>
        <v>-617.69</v>
      </c>
      <c r="E81" s="17">
        <f>IFERROR(__xludf.DUMMYFUNCTION("""COMPUTED_VALUE"""),0.0)</f>
        <v>0</v>
      </c>
      <c r="F81" s="17">
        <f>IFERROR(__xludf.DUMMYFUNCTION("""COMPUTED_VALUE"""),0.0)</f>
        <v>0</v>
      </c>
      <c r="G81" s="17">
        <f>IFERROR(__xludf.DUMMYFUNCTION("""COMPUTED_VALUE"""),-617.69)</f>
        <v>-617.69</v>
      </c>
      <c r="H81" s="17">
        <f>IFERROR(__xludf.DUMMYFUNCTION("""COMPUTED_VALUE"""),-617.69)</f>
        <v>-617.69</v>
      </c>
    </row>
    <row r="82">
      <c r="A82" s="18"/>
      <c r="B82" s="16">
        <f>IFERROR(__xludf.DUMMYFUNCTION("""COMPUTED_VALUE"""),0.0)</f>
        <v>0</v>
      </c>
      <c r="C82" s="17">
        <f>IFERROR(__xludf.DUMMYFUNCTION("""COMPUTED_VALUE"""),0.0)</f>
        <v>0</v>
      </c>
      <c r="D82" s="17">
        <f>IFERROR(__xludf.DUMMYFUNCTION("""COMPUTED_VALUE"""),0.0)</f>
        <v>0</v>
      </c>
      <c r="E82" s="17">
        <f>IFERROR(__xludf.DUMMYFUNCTION("""COMPUTED_VALUE"""),0.0)</f>
        <v>0</v>
      </c>
      <c r="F82" s="17">
        <f>IFERROR(__xludf.DUMMYFUNCTION("""COMPUTED_VALUE"""),697.0)</f>
        <v>697</v>
      </c>
      <c r="G82" s="17">
        <f>IFERROR(__xludf.DUMMYFUNCTION("""COMPUTED_VALUE"""),0.0)</f>
        <v>0</v>
      </c>
      <c r="H82" s="17">
        <f>IFERROR(__xludf.DUMMYFUNCTION("""COMPUTED_VALUE"""),697.0)</f>
        <v>697</v>
      </c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