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IFERROR(__xludf.DUMMYFUNCTION("""COMPUTED_VALUE"""),189.0)</f>
        <v>189</v>
      </c>
      <c r="C3" s="4"/>
      <c r="D3" s="5" t="str">
        <f>IFERROR(__xludf.DUMMYFUNCTION("""COMPUTED_VALUE"""),"CASH")</f>
        <v>CASH</v>
      </c>
      <c r="E3" s="7">
        <f>IFERROR(__xludf.DUMMYFUNCTION("""COMPUTED_VALUE"""),209725.13)</f>
        <v>209725.13</v>
      </c>
      <c r="F3" s="4"/>
      <c r="G3" s="5" t="str">
        <f>IFERROR(__xludf.DUMMYFUNCTION("""COMPUTED_VALUE"""),"NMAC")</f>
        <v>NMAC</v>
      </c>
      <c r="H3" s="7">
        <f>IFERROR(__xludf.DUMMYFUNCTION("""COMPUTED_VALUE"""),307905.12000000005)</f>
        <v>307905.12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IFERROR(__xludf.DUMMYFUNCTION("""COMPUTED_VALUE"""),148.0)</f>
        <v>148</v>
      </c>
      <c r="C4" s="4"/>
      <c r="D4" s="5" t="str">
        <f>IFERROR(__xludf.DUMMYFUNCTION("""COMPUTED_VALUE"""),"WELLS FARGO AUTO")</f>
        <v>WELLS FARGO AUTO</v>
      </c>
      <c r="E4" s="7">
        <f>IFERROR(__xludf.DUMMYFUNCTION("""COMPUTED_VALUE"""),57291.64000000001)</f>
        <v>57291.64</v>
      </c>
      <c r="F4" s="4"/>
      <c r="G4" s="5" t="str">
        <f>IFERROR(__xludf.DUMMYFUNCTION("""COMPUTED_VALUE"""),"KIA MOTORS FINANCE")</f>
        <v>KIA MOTORS FINANCE</v>
      </c>
      <c r="H4" s="7">
        <f>IFERROR(__xludf.DUMMYFUNCTION("""COMPUTED_VALUE"""),291349.95999999996)</f>
        <v>291349.96</v>
      </c>
    </row>
    <row r="5">
      <c r="A5" s="5" t="str">
        <f>IFERROR(__xludf.DUMMYFUNCTION("""COMPUTED_VALUE"""),"NMAC")</f>
        <v>NMAC</v>
      </c>
      <c r="B5" s="6">
        <f>IFERROR(__xludf.DUMMYFUNCTION("""COMPUTED_VALUE"""),124.0)</f>
        <v>124</v>
      </c>
      <c r="C5" s="4"/>
      <c r="D5" s="5" t="str">
        <f>IFERROR(__xludf.DUMMYFUNCTION("""COMPUTED_VALUE"""),"CAPITAL ONE")</f>
        <v>CAPITAL ONE</v>
      </c>
      <c r="E5" s="7">
        <f>IFERROR(__xludf.DUMMYFUNCTION("""COMPUTED_VALUE"""),54854.560000000005)</f>
        <v>54854.56</v>
      </c>
      <c r="F5" s="4"/>
      <c r="G5" s="5" t="str">
        <f>IFERROR(__xludf.DUMMYFUNCTION("""COMPUTED_VALUE"""),"SANTANDER CONSUMER USA")</f>
        <v>SANTANDER CONSUMER USA</v>
      </c>
      <c r="H5" s="7">
        <f>IFERROR(__xludf.DUMMYFUNCTION("""COMPUTED_VALUE"""),235530.04)</f>
        <v>235530.04</v>
      </c>
    </row>
    <row r="6">
      <c r="A6" s="5" t="str">
        <f>IFERROR(__xludf.DUMMYFUNCTION("""COMPUTED_VALUE"""),"SANTANDER CONSUMER USA")</f>
        <v>SANTANDER CONSUMER USA</v>
      </c>
      <c r="B6" s="6">
        <f>IFERROR(__xludf.DUMMYFUNCTION("""COMPUTED_VALUE"""),99.0)</f>
        <v>99</v>
      </c>
      <c r="C6" s="4"/>
      <c r="D6" s="5" t="str">
        <f>IFERROR(__xludf.DUMMYFUNCTION("""COMPUTED_VALUE"""),"NMAC")</f>
        <v>NMAC</v>
      </c>
      <c r="E6" s="7">
        <f>IFERROR(__xludf.DUMMYFUNCTION("""COMPUTED_VALUE"""),50731.79)</f>
        <v>50731.79</v>
      </c>
      <c r="F6" s="4"/>
      <c r="G6" s="5" t="str">
        <f>IFERROR(__xludf.DUMMYFUNCTION("""COMPUTED_VALUE"""),"CAPITAL ONE")</f>
        <v>CAPITAL ONE</v>
      </c>
      <c r="H6" s="7">
        <f>IFERROR(__xludf.DUMMYFUNCTION("""COMPUTED_VALUE"""),212136.92)</f>
        <v>212136.92</v>
      </c>
    </row>
    <row r="7">
      <c r="A7" s="5" t="str">
        <f>IFERROR(__xludf.DUMMYFUNCTION("""COMPUTED_VALUE"""),"CAPITAL ONE")</f>
        <v>CAPITAL ONE</v>
      </c>
      <c r="B7" s="6">
        <f>IFERROR(__xludf.DUMMYFUNCTION("""COMPUTED_VALUE"""),93.0)</f>
        <v>93</v>
      </c>
      <c r="C7" s="4"/>
      <c r="D7" s="5" t="str">
        <f>IFERROR(__xludf.DUMMYFUNCTION("""COMPUTED_VALUE"""),"EASTMAN CU")</f>
        <v>EASTMAN CU</v>
      </c>
      <c r="E7" s="7">
        <f>IFERROR(__xludf.DUMMYFUNCTION("""COMPUTED_VALUE"""),48322.979999999996)</f>
        <v>48322.98</v>
      </c>
      <c r="F7" s="4"/>
      <c r="G7" s="5" t="str">
        <f>IFERROR(__xludf.DUMMYFUNCTION("""COMPUTED_VALUE"""),"TRUIST BANK")</f>
        <v>TRUIST BANK</v>
      </c>
      <c r="H7" s="7">
        <f>IFERROR(__xludf.DUMMYFUNCTION("""COMPUTED_VALUE"""),152650.69)</f>
        <v>152650.69</v>
      </c>
    </row>
    <row r="8">
      <c r="A8" s="5" t="str">
        <f>IFERROR(__xludf.DUMMYFUNCTION("""COMPUTED_VALUE"""),"TRUIST BANK")</f>
        <v>TRUIST BANK</v>
      </c>
      <c r="B8" s="6">
        <f>IFERROR(__xludf.DUMMYFUNCTION("""COMPUTED_VALUE"""),47.0)</f>
        <v>47</v>
      </c>
      <c r="C8" s="4"/>
      <c r="D8" s="5" t="str">
        <f>IFERROR(__xludf.DUMMYFUNCTION("""COMPUTED_VALUE"""),"HYUNDAI MOTOR FINANCE")</f>
        <v>HYUNDAI MOTOR FINANCE</v>
      </c>
      <c r="E8" s="7">
        <f>IFERROR(__xludf.DUMMYFUNCTION("""COMPUTED_VALUE"""),42815.240000000005)</f>
        <v>42815.24</v>
      </c>
      <c r="F8" s="4"/>
      <c r="G8" s="5" t="str">
        <f>IFERROR(__xludf.DUMMYFUNCTION("""COMPUTED_VALUE"""),"TD AUTO FINANCE")</f>
        <v>TD AUTO FINANCE</v>
      </c>
      <c r="H8" s="7">
        <f>IFERROR(__xludf.DUMMYFUNCTION("""COMPUTED_VALUE"""),114604.41000000002)</f>
        <v>114604.41</v>
      </c>
    </row>
    <row r="9">
      <c r="A9" s="5" t="str">
        <f>IFERROR(__xludf.DUMMYFUNCTION("""COMPUTED_VALUE"""),"REGIONAL ACCEPTANCE CORPORATION")</f>
        <v>REGIONAL ACCEPTANCE CORPORATION</v>
      </c>
      <c r="B9" s="6">
        <f>IFERROR(__xludf.DUMMYFUNCTION("""COMPUTED_VALUE"""),47.0)</f>
        <v>47</v>
      </c>
      <c r="C9" s="4"/>
      <c r="D9" s="5" t="str">
        <f>IFERROR(__xludf.DUMMYFUNCTION("""COMPUTED_VALUE"""),"TD AUTO FINANCE")</f>
        <v>TD AUTO FINANCE</v>
      </c>
      <c r="E9" s="7">
        <f>IFERROR(__xludf.DUMMYFUNCTION("""COMPUTED_VALUE"""),41853.70999999999)</f>
        <v>41853.71</v>
      </c>
      <c r="F9" s="4"/>
      <c r="G9" s="5" t="str">
        <f>IFERROR(__xludf.DUMMYFUNCTION("""COMPUTED_VALUE"""),"ALLY FINANCIAL")</f>
        <v>ALLY FINANCIAL</v>
      </c>
      <c r="H9" s="7">
        <f>IFERROR(__xludf.DUMMYFUNCTION("""COMPUTED_VALUE"""),111539.95999999999)</f>
        <v>111539.96</v>
      </c>
    </row>
    <row r="10">
      <c r="A10" s="5" t="str">
        <f>IFERROR(__xludf.DUMMYFUNCTION("""COMPUTED_VALUE"""),"OSF")</f>
        <v>OSF</v>
      </c>
      <c r="B10" s="6">
        <f>IFERROR(__xludf.DUMMYFUNCTION("""COMPUTED_VALUE"""),46.0)</f>
        <v>46</v>
      </c>
      <c r="C10" s="4"/>
      <c r="D10" s="5" t="str">
        <f>IFERROR(__xludf.DUMMYFUNCTION("""COMPUTED_VALUE"""),"ALLY FINANCIAL")</f>
        <v>ALLY FINANCIAL</v>
      </c>
      <c r="E10" s="7">
        <f>IFERROR(__xludf.DUMMYFUNCTION("""COMPUTED_VALUE"""),35829.64)</f>
        <v>35829.64</v>
      </c>
      <c r="F10" s="4"/>
      <c r="G10" s="5" t="str">
        <f>IFERROR(__xludf.DUMMYFUNCTION("""COMPUTED_VALUE"""),"REGIONAL ACCEPTANCE CORPORATION")</f>
        <v>REGIONAL ACCEPTANCE CORPORATION</v>
      </c>
      <c r="H10" s="7">
        <f>IFERROR(__xludf.DUMMYFUNCTION("""COMPUTED_VALUE"""),111042.86)</f>
        <v>111042.86</v>
      </c>
    </row>
    <row r="11">
      <c r="A11" s="5" t="str">
        <f>IFERROR(__xludf.DUMMYFUNCTION("""COMPUTED_VALUE"""),"EXETER FINANCE CORPORATION")</f>
        <v>EXETER FINANCE CORPORATION</v>
      </c>
      <c r="B11" s="6">
        <f>IFERROR(__xludf.DUMMYFUNCTION("""COMPUTED_VALUE"""),46.0)</f>
        <v>46</v>
      </c>
      <c r="C11" s="4"/>
      <c r="D11" s="5" t="str">
        <f>IFERROR(__xludf.DUMMYFUNCTION("""COMPUTED_VALUE"""),"KIA MOTORS FINANCE")</f>
        <v>KIA MOTORS FINANCE</v>
      </c>
      <c r="E11" s="7">
        <f>IFERROR(__xludf.DUMMYFUNCTION("""COMPUTED_VALUE"""),34468.95999999999)</f>
        <v>34468.96</v>
      </c>
      <c r="F11" s="4"/>
      <c r="G11" s="5" t="str">
        <f>IFERROR(__xludf.DUMMYFUNCTION("""COMPUTED_VALUE"""),"CASH")</f>
        <v>CASH</v>
      </c>
      <c r="H11" s="7">
        <f>IFERROR(__xludf.DUMMYFUNCTION("""COMPUTED_VALUE"""),91766.6)</f>
        <v>91766.6</v>
      </c>
    </row>
    <row r="12">
      <c r="A12" s="8" t="str">
        <f>IFERROR(__xludf.DUMMYFUNCTION("""COMPUTED_VALUE"""),"ALLY FINANCIAL")</f>
        <v>ALLY FINANCIAL</v>
      </c>
      <c r="B12" s="9">
        <f>IFERROR(__xludf.DUMMYFUNCTION("""COMPUTED_VALUE"""),43.0)</f>
        <v>43</v>
      </c>
      <c r="C12" s="4"/>
      <c r="D12" s="8" t="str">
        <f>IFERROR(__xludf.DUMMYFUNCTION("""COMPUTED_VALUE"""),"REGIONAL ACCEPTANCE CORPORATION")</f>
        <v>REGIONAL ACCEPTANCE CORPORATION</v>
      </c>
      <c r="E12" s="10">
        <f>IFERROR(__xludf.DUMMYFUNCTION("""COMPUTED_VALUE"""),32319.82)</f>
        <v>32319.82</v>
      </c>
      <c r="F12" s="4"/>
      <c r="G12" s="8" t="str">
        <f>IFERROR(__xludf.DUMMYFUNCTION("""COMPUTED_VALUE"""),"RED RIVER FCU")</f>
        <v>RED RIVER FCU</v>
      </c>
      <c r="H12" s="10">
        <f>IFERROR(__xludf.DUMMYFUNCTION("""COMPUTED_VALUE"""),85757.54999999999)</f>
        <v>85757.55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IFERROR(__xludf.DUMMYFUNCTION("""COMPUTED_VALUE"""),189.0)</f>
        <v>189</v>
      </c>
      <c r="C2" s="17">
        <f>IFERROR(__xludf.DUMMYFUNCTION("""COMPUTED_VALUE"""),1109.66)</f>
        <v>1109.66</v>
      </c>
      <c r="D2" s="17">
        <f>IFERROR(__xludf.DUMMYFUNCTION("""COMPUTED_VALUE"""),209725.13)</f>
        <v>209725.13</v>
      </c>
      <c r="E2" s="17">
        <f>IFERROR(__xludf.DUMMYFUNCTION("""COMPUTED_VALUE"""),488.12)</f>
        <v>488.12</v>
      </c>
      <c r="F2" s="17">
        <f>IFERROR(__xludf.DUMMYFUNCTION("""COMPUTED_VALUE"""),91766.6)</f>
        <v>91766.6</v>
      </c>
      <c r="G2" s="17">
        <f>IFERROR(__xludf.DUMMYFUNCTION("""COMPUTED_VALUE"""),1603.68)</f>
        <v>1603.68</v>
      </c>
      <c r="H2" s="17">
        <f>IFERROR(__xludf.DUMMYFUNCTION("""COMPUTED_VALUE"""),301491.73)</f>
        <v>301491.73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IFERROR(__xludf.DUMMYFUNCTION("""COMPUTED_VALUE"""),148.0)</f>
        <v>148</v>
      </c>
      <c r="C3" s="17">
        <f>IFERROR(__xludf.DUMMYFUNCTION("""COMPUTED_VALUE"""),-111.78999999999999)</f>
        <v>-111.79</v>
      </c>
      <c r="D3" s="17">
        <f>IFERROR(__xludf.DUMMYFUNCTION("""COMPUTED_VALUE"""),34468.95999999999)</f>
        <v>34468.96</v>
      </c>
      <c r="E3" s="17">
        <f>IFERROR(__xludf.DUMMYFUNCTION("""COMPUTED_VALUE"""),1494.912)</f>
        <v>1494.912</v>
      </c>
      <c r="F3" s="17">
        <f>IFERROR(__xludf.DUMMYFUNCTION("""COMPUTED_VALUE"""),291349.95999999996)</f>
        <v>291349.96</v>
      </c>
      <c r="G3" s="17">
        <f>IFERROR(__xludf.DUMMYFUNCTION("""COMPUTED_VALUE"""),1383.1220000000003)</f>
        <v>1383.122</v>
      </c>
      <c r="H3" s="17">
        <f>IFERROR(__xludf.DUMMYFUNCTION("""COMPUTED_VALUE"""),325818.92)</f>
        <v>325818.92</v>
      </c>
    </row>
    <row r="4">
      <c r="A4" s="15" t="str">
        <f>IFERROR(__xludf.DUMMYFUNCTION("""COMPUTED_VALUE"""),"NMAC")</f>
        <v>NMAC</v>
      </c>
      <c r="B4" s="16">
        <f>IFERROR(__xludf.DUMMYFUNCTION("""COMPUTED_VALUE"""),124.0)</f>
        <v>124</v>
      </c>
      <c r="C4" s="17">
        <f>IFERROR(__xludf.DUMMYFUNCTION("""COMPUTED_VALUE"""),-38.52428571428576)</f>
        <v>-38.52428571</v>
      </c>
      <c r="D4" s="17">
        <f>IFERROR(__xludf.DUMMYFUNCTION("""COMPUTED_VALUE"""),50731.79)</f>
        <v>50731.79</v>
      </c>
      <c r="E4" s="17">
        <f>IFERROR(__xludf.DUMMYFUNCTION("""COMPUTED_VALUE"""),2020.4714285714285)</f>
        <v>2020.471429</v>
      </c>
      <c r="F4" s="17">
        <f>IFERROR(__xludf.DUMMYFUNCTION("""COMPUTED_VALUE"""),307905.12000000005)</f>
        <v>307905.12</v>
      </c>
      <c r="G4" s="17">
        <f>IFERROR(__xludf.DUMMYFUNCTION("""COMPUTED_VALUE"""),1981.9485714285713)</f>
        <v>1981.948571</v>
      </c>
      <c r="H4" s="17">
        <f>IFERROR(__xludf.DUMMYFUNCTION("""COMPUTED_VALUE"""),358636.9100000001)</f>
        <v>358636.91</v>
      </c>
    </row>
    <row r="5">
      <c r="A5" s="18" t="str">
        <f>IFERROR(__xludf.DUMMYFUNCTION("""COMPUTED_VALUE"""),"SANTANDER CONSUMER USA")</f>
        <v>SANTANDER CONSUMER USA</v>
      </c>
      <c r="B5" s="16">
        <f>IFERROR(__xludf.DUMMYFUNCTION("""COMPUTED_VALUE"""),99.0)</f>
        <v>99</v>
      </c>
      <c r="C5" s="17">
        <f>IFERROR(__xludf.DUMMYFUNCTION("""COMPUTED_VALUE"""),535.4828571428573)</f>
        <v>535.4828571</v>
      </c>
      <c r="D5" s="17">
        <f>IFERROR(__xludf.DUMMYFUNCTION("""COMPUTED_VALUE"""),-26723.9)</f>
        <v>-26723.9</v>
      </c>
      <c r="E5" s="17">
        <f>IFERROR(__xludf.DUMMYFUNCTION("""COMPUTED_VALUE"""),2338.2185714285715)</f>
        <v>2338.218571</v>
      </c>
      <c r="F5" s="17">
        <f>IFERROR(__xludf.DUMMYFUNCTION("""COMPUTED_VALUE"""),235530.04)</f>
        <v>235530.04</v>
      </c>
      <c r="G5" s="17">
        <f>IFERROR(__xludf.DUMMYFUNCTION("""COMPUTED_VALUE"""),2873.7014285714286)</f>
        <v>2873.701429</v>
      </c>
      <c r="H5" s="17">
        <f>IFERROR(__xludf.DUMMYFUNCTION("""COMPUTED_VALUE"""),208806.14)</f>
        <v>208806.14</v>
      </c>
    </row>
    <row r="6">
      <c r="A6" s="18" t="str">
        <f>IFERROR(__xludf.DUMMYFUNCTION("""COMPUTED_VALUE"""),"CAPITAL ONE")</f>
        <v>CAPITAL ONE</v>
      </c>
      <c r="B6" s="16">
        <f>IFERROR(__xludf.DUMMYFUNCTION("""COMPUTED_VALUE"""),93.0)</f>
        <v>93</v>
      </c>
      <c r="C6" s="17">
        <f>IFERROR(__xludf.DUMMYFUNCTION("""COMPUTED_VALUE"""),747.6544444444445)</f>
        <v>747.6544444</v>
      </c>
      <c r="D6" s="17">
        <f>IFERROR(__xludf.DUMMYFUNCTION("""COMPUTED_VALUE"""),54854.560000000005)</f>
        <v>54854.56</v>
      </c>
      <c r="E6" s="17">
        <f>IFERROR(__xludf.DUMMYFUNCTION("""COMPUTED_VALUE"""),1945.1644444444448)</f>
        <v>1945.164444</v>
      </c>
      <c r="F6" s="17">
        <f>IFERROR(__xludf.DUMMYFUNCTION("""COMPUTED_VALUE"""),212136.92)</f>
        <v>212136.92</v>
      </c>
      <c r="G6" s="17">
        <f>IFERROR(__xludf.DUMMYFUNCTION("""COMPUTED_VALUE"""),2692.8177777777773)</f>
        <v>2692.817778</v>
      </c>
      <c r="H6" s="17">
        <f>IFERROR(__xludf.DUMMYFUNCTION("""COMPUTED_VALUE"""),266991.48000000004)</f>
        <v>266991.48</v>
      </c>
    </row>
    <row r="7">
      <c r="A7" s="15" t="str">
        <f>IFERROR(__xludf.DUMMYFUNCTION("""COMPUTED_VALUE"""),"TRUIST BANK")</f>
        <v>TRUIST BANK</v>
      </c>
      <c r="B7" s="16">
        <f>IFERROR(__xludf.DUMMYFUNCTION("""COMPUTED_VALUE"""),47.0)</f>
        <v>47</v>
      </c>
      <c r="C7" s="17">
        <f>IFERROR(__xludf.DUMMYFUNCTION("""COMPUTED_VALUE"""),563.647)</f>
        <v>563.647</v>
      </c>
      <c r="D7" s="17">
        <f>IFERROR(__xludf.DUMMYFUNCTION("""COMPUTED_VALUE"""),28467.48)</f>
        <v>28467.48</v>
      </c>
      <c r="E7" s="17">
        <f>IFERROR(__xludf.DUMMYFUNCTION("""COMPUTED_VALUE"""),3128.379)</f>
        <v>3128.379</v>
      </c>
      <c r="F7" s="17">
        <f>IFERROR(__xludf.DUMMYFUNCTION("""COMPUTED_VALUE"""),152650.69)</f>
        <v>152650.69</v>
      </c>
      <c r="G7" s="17">
        <f>IFERROR(__xludf.DUMMYFUNCTION("""COMPUTED_VALUE"""),3692.0260000000003)</f>
        <v>3692.026</v>
      </c>
      <c r="H7" s="17">
        <f>IFERROR(__xludf.DUMMYFUNCTION("""COMPUTED_VALUE"""),181118.17)</f>
        <v>181118.17</v>
      </c>
    </row>
    <row r="8">
      <c r="A8" s="15" t="str">
        <f>IFERROR(__xludf.DUMMYFUNCTION("""COMPUTED_VALUE"""),"REGIONAL ACCEPTANCE CORPORATION")</f>
        <v>REGIONAL ACCEPTANCE CORPORATION</v>
      </c>
      <c r="B8" s="16">
        <f>IFERROR(__xludf.DUMMYFUNCTION("""COMPUTED_VALUE"""),47.0)</f>
        <v>47</v>
      </c>
      <c r="C8" s="17">
        <f>IFERROR(__xludf.DUMMYFUNCTION("""COMPUTED_VALUE"""),510.42142857142846)</f>
        <v>510.4214286</v>
      </c>
      <c r="D8" s="17">
        <f>IFERROR(__xludf.DUMMYFUNCTION("""COMPUTED_VALUE"""),32319.82)</f>
        <v>32319.82</v>
      </c>
      <c r="E8" s="17">
        <f>IFERROR(__xludf.DUMMYFUNCTION("""COMPUTED_VALUE"""),2481.2385714285715)</f>
        <v>2481.238571</v>
      </c>
      <c r="F8" s="17">
        <f>IFERROR(__xludf.DUMMYFUNCTION("""COMPUTED_VALUE"""),111042.86)</f>
        <v>111042.86</v>
      </c>
      <c r="G8" s="17">
        <f>IFERROR(__xludf.DUMMYFUNCTION("""COMPUTED_VALUE"""),2991.661428571428)</f>
        <v>2991.661429</v>
      </c>
      <c r="H8" s="17">
        <f>IFERROR(__xludf.DUMMYFUNCTION("""COMPUTED_VALUE"""),143362.68)</f>
        <v>143362.68</v>
      </c>
    </row>
    <row r="9">
      <c r="A9" s="15" t="str">
        <f>IFERROR(__xludf.DUMMYFUNCTION("""COMPUTED_VALUE"""),"OSF")</f>
        <v>OSF</v>
      </c>
      <c r="B9" s="16">
        <f>IFERROR(__xludf.DUMMYFUNCTION("""COMPUTED_VALUE"""),46.0)</f>
        <v>46</v>
      </c>
      <c r="C9" s="17">
        <f>IFERROR(__xludf.DUMMYFUNCTION("""COMPUTED_VALUE"""),467.98)</f>
        <v>467.98</v>
      </c>
      <c r="D9" s="17">
        <f>IFERROR(__xludf.DUMMYFUNCTION("""COMPUTED_VALUE"""),21526.89)</f>
        <v>21526.89</v>
      </c>
      <c r="E9" s="17">
        <f>IFERROR(__xludf.DUMMYFUNCTION("""COMPUTED_VALUE"""),79.29)</f>
        <v>79.29</v>
      </c>
      <c r="F9" s="17">
        <f>IFERROR(__xludf.DUMMYFUNCTION("""COMPUTED_VALUE"""),3647.41)</f>
        <v>3647.41</v>
      </c>
      <c r="G9" s="17">
        <f>IFERROR(__xludf.DUMMYFUNCTION("""COMPUTED_VALUE"""),547.27)</f>
        <v>547.27</v>
      </c>
      <c r="H9" s="17">
        <f>IFERROR(__xludf.DUMMYFUNCTION("""COMPUTED_VALUE"""),25174.3)</f>
        <v>25174.3</v>
      </c>
    </row>
    <row r="10">
      <c r="A10" s="18" t="str">
        <f>IFERROR(__xludf.DUMMYFUNCTION("""COMPUTED_VALUE"""),"EXETER FINANCE CORPORATION")</f>
        <v>EXETER FINANCE CORPORATION</v>
      </c>
      <c r="B10" s="16">
        <f>IFERROR(__xludf.DUMMYFUNCTION("""COMPUTED_VALUE"""),46.0)</f>
        <v>46</v>
      </c>
      <c r="C10" s="17">
        <f>IFERROR(__xludf.DUMMYFUNCTION("""COMPUTED_VALUE"""),47.594999999999985)</f>
        <v>47.595</v>
      </c>
      <c r="D10" s="17">
        <f>IFERROR(__xludf.DUMMYFUNCTION("""COMPUTED_VALUE"""),10011.32)</f>
        <v>10011.32</v>
      </c>
      <c r="E10" s="17">
        <f>IFERROR(__xludf.DUMMYFUNCTION("""COMPUTED_VALUE"""),1206.2050000000002)</f>
        <v>1206.205</v>
      </c>
      <c r="F10" s="17">
        <f>IFERROR(__xludf.DUMMYFUNCTION("""COMPUTED_VALUE"""),61954.46)</f>
        <v>61954.46</v>
      </c>
      <c r="G10" s="17">
        <f>IFERROR(__xludf.DUMMYFUNCTION("""COMPUTED_VALUE"""),1253.8)</f>
        <v>1253.8</v>
      </c>
      <c r="H10" s="17">
        <f>IFERROR(__xludf.DUMMYFUNCTION("""COMPUTED_VALUE"""),71965.78)</f>
        <v>71965.78</v>
      </c>
    </row>
    <row r="11">
      <c r="A11" s="18" t="str">
        <f>IFERROR(__xludf.DUMMYFUNCTION("""COMPUTED_VALUE"""),"ALLY FINANCIAL")</f>
        <v>ALLY FINANCIAL</v>
      </c>
      <c r="B11" s="16">
        <f>IFERROR(__xludf.DUMMYFUNCTION("""COMPUTED_VALUE"""),43.0)</f>
        <v>43</v>
      </c>
      <c r="C11" s="17">
        <f>IFERROR(__xludf.DUMMYFUNCTION("""COMPUTED_VALUE"""),953.3328571428572)</f>
        <v>953.3328571</v>
      </c>
      <c r="D11" s="17">
        <f>IFERROR(__xludf.DUMMYFUNCTION("""COMPUTED_VALUE"""),35829.64)</f>
        <v>35829.64</v>
      </c>
      <c r="E11" s="17">
        <f>IFERROR(__xludf.DUMMYFUNCTION("""COMPUTED_VALUE"""),2994.7928571428574)</f>
        <v>2994.792857</v>
      </c>
      <c r="F11" s="17">
        <f>IFERROR(__xludf.DUMMYFUNCTION("""COMPUTED_VALUE"""),111539.95999999999)</f>
        <v>111539.96</v>
      </c>
      <c r="G11" s="17">
        <f>IFERROR(__xludf.DUMMYFUNCTION("""COMPUTED_VALUE"""),3948.125714285714)</f>
        <v>3948.125714</v>
      </c>
      <c r="H11" s="17">
        <f>IFERROR(__xludf.DUMMYFUNCTION("""COMPUTED_VALUE"""),147369.60000000003)</f>
        <v>147369.6</v>
      </c>
    </row>
    <row r="12">
      <c r="A12" s="18" t="str">
        <f>IFERROR(__xludf.DUMMYFUNCTION("""COMPUTED_VALUE"""),"HYUNDAI MOTOR FINANCE")</f>
        <v>HYUNDAI MOTOR FINANCE</v>
      </c>
      <c r="B12" s="16">
        <f>IFERROR(__xludf.DUMMYFUNCTION("""COMPUTED_VALUE"""),41.0)</f>
        <v>41</v>
      </c>
      <c r="C12" s="17">
        <f>IFERROR(__xludf.DUMMYFUNCTION("""COMPUTED_VALUE"""),1272.5075000000002)</f>
        <v>1272.5075</v>
      </c>
      <c r="D12" s="17">
        <f>IFERROR(__xludf.DUMMYFUNCTION("""COMPUTED_VALUE"""),42815.240000000005)</f>
        <v>42815.24</v>
      </c>
      <c r="E12" s="17">
        <f>IFERROR(__xludf.DUMMYFUNCTION("""COMPUTED_VALUE"""),1581.9350000000002)</f>
        <v>1581.935</v>
      </c>
      <c r="F12" s="17">
        <f>IFERROR(__xludf.DUMMYFUNCTION("""COMPUTED_VALUE"""),65628.21)</f>
        <v>65628.21</v>
      </c>
      <c r="G12" s="17">
        <f>IFERROR(__xludf.DUMMYFUNCTION("""COMPUTED_VALUE"""),2854.4425)</f>
        <v>2854.4425</v>
      </c>
      <c r="H12" s="17">
        <f>IFERROR(__xludf.DUMMYFUNCTION("""COMPUTED_VALUE"""),108443.45000000001)</f>
        <v>108443.45</v>
      </c>
    </row>
    <row r="13">
      <c r="A13" s="18" t="str">
        <f>IFERROR(__xludf.DUMMYFUNCTION("""COMPUTED_VALUE"""),"WELLS FARGO AUTO")</f>
        <v>WELLS FARGO AUTO</v>
      </c>
      <c r="B13" s="16">
        <f>IFERROR(__xludf.DUMMYFUNCTION("""COMPUTED_VALUE"""),39.0)</f>
        <v>39</v>
      </c>
      <c r="C13" s="17">
        <f>IFERROR(__xludf.DUMMYFUNCTION("""COMPUTED_VALUE"""),1289.8899999999999)</f>
        <v>1289.89</v>
      </c>
      <c r="D13" s="17">
        <f>IFERROR(__xludf.DUMMYFUNCTION("""COMPUTED_VALUE"""),57291.64000000001)</f>
        <v>57291.64</v>
      </c>
      <c r="E13" s="17">
        <f>IFERROR(__xludf.DUMMYFUNCTION("""COMPUTED_VALUE"""),1773.1957142857148)</f>
        <v>1773.195714</v>
      </c>
      <c r="F13" s="17">
        <f>IFERROR(__xludf.DUMMYFUNCTION("""COMPUTED_VALUE"""),84904.73999999999)</f>
        <v>84904.74</v>
      </c>
      <c r="G13" s="17">
        <f>IFERROR(__xludf.DUMMYFUNCTION("""COMPUTED_VALUE"""),3063.087142857143)</f>
        <v>3063.087143</v>
      </c>
      <c r="H13" s="17">
        <f>IFERROR(__xludf.DUMMYFUNCTION("""COMPUTED_VALUE"""),142196.38)</f>
        <v>142196.38</v>
      </c>
    </row>
    <row r="14">
      <c r="A14" s="18" t="str">
        <f>IFERROR(__xludf.DUMMYFUNCTION("""COMPUTED_VALUE"""),"EASTMAN CU")</f>
        <v>EASTMAN CU</v>
      </c>
      <c r="B14" s="16">
        <f>IFERROR(__xludf.DUMMYFUNCTION("""COMPUTED_VALUE"""),37.0)</f>
        <v>37</v>
      </c>
      <c r="C14" s="17">
        <f>IFERROR(__xludf.DUMMYFUNCTION("""COMPUTED_VALUE"""),840.3033333333333)</f>
        <v>840.3033333</v>
      </c>
      <c r="D14" s="17">
        <f>IFERROR(__xludf.DUMMYFUNCTION("""COMPUTED_VALUE"""),48322.979999999996)</f>
        <v>48322.98</v>
      </c>
      <c r="E14" s="17">
        <f>IFERROR(__xludf.DUMMYFUNCTION("""COMPUTED_VALUE"""),1773.2033333333331)</f>
        <v>1773.203333</v>
      </c>
      <c r="F14" s="17">
        <f>IFERROR(__xludf.DUMMYFUNCTION("""COMPUTED_VALUE"""),68265.45)</f>
        <v>68265.45</v>
      </c>
      <c r="G14" s="17">
        <f>IFERROR(__xludf.DUMMYFUNCTION("""COMPUTED_VALUE"""),2613.5033333333336)</f>
        <v>2613.503333</v>
      </c>
      <c r="H14" s="17">
        <f>IFERROR(__xludf.DUMMYFUNCTION("""COMPUTED_VALUE"""),116588.43)</f>
        <v>116588.43</v>
      </c>
    </row>
    <row r="15">
      <c r="A15" s="18" t="str">
        <f>IFERROR(__xludf.DUMMYFUNCTION("""COMPUTED_VALUE"""),"GLOBAL LENDING SERVICES ")</f>
        <v>GLOBAL LENDING SERVICES </v>
      </c>
      <c r="B15" s="16">
        <f>IFERROR(__xludf.DUMMYFUNCTION("""COMPUTED_VALUE"""),33.0)</f>
        <v>33</v>
      </c>
      <c r="C15" s="17">
        <f>IFERROR(__xludf.DUMMYFUNCTION("""COMPUTED_VALUE"""),1127.655714285714)</f>
        <v>1127.655714</v>
      </c>
      <c r="D15" s="17">
        <f>IFERROR(__xludf.DUMMYFUNCTION("""COMPUTED_VALUE"""),3857.3999999999996)</f>
        <v>3857.4</v>
      </c>
      <c r="E15" s="17">
        <f>IFERROR(__xludf.DUMMYFUNCTION("""COMPUTED_VALUE"""),2282.1357142857146)</f>
        <v>2282.135714</v>
      </c>
      <c r="F15" s="17">
        <f>IFERROR(__xludf.DUMMYFUNCTION("""COMPUTED_VALUE"""),80663.97)</f>
        <v>80663.97</v>
      </c>
      <c r="G15" s="17">
        <f>IFERROR(__xludf.DUMMYFUNCTION("""COMPUTED_VALUE"""),3409.7914285714287)</f>
        <v>3409.791429</v>
      </c>
      <c r="H15" s="17">
        <f>IFERROR(__xludf.DUMMYFUNCTION("""COMPUTED_VALUE"""),84521.37000000001)</f>
        <v>84521.37</v>
      </c>
    </row>
    <row r="16">
      <c r="A16" s="15" t="str">
        <f>IFERROR(__xludf.DUMMYFUNCTION("""COMPUTED_VALUE"""),"MERITRUST FCU")</f>
        <v>MERITRUST FCU</v>
      </c>
      <c r="B16" s="16">
        <f>IFERROR(__xludf.DUMMYFUNCTION("""COMPUTED_VALUE"""),31.0)</f>
        <v>31</v>
      </c>
      <c r="C16" s="17">
        <f>IFERROR(__xludf.DUMMYFUNCTION("""COMPUTED_VALUE"""),751.725)</f>
        <v>751.725</v>
      </c>
      <c r="D16" s="17">
        <f>IFERROR(__xludf.DUMMYFUNCTION("""COMPUTED_VALUE"""),21917.42)</f>
        <v>21917.42</v>
      </c>
      <c r="E16" s="17">
        <f>IFERROR(__xludf.DUMMYFUNCTION("""COMPUTED_VALUE"""),2359.9049999999997)</f>
        <v>2359.905</v>
      </c>
      <c r="F16" s="17">
        <f>IFERROR(__xludf.DUMMYFUNCTION("""COMPUTED_VALUE"""),73235.92)</f>
        <v>73235.92</v>
      </c>
      <c r="G16" s="17">
        <f>IFERROR(__xludf.DUMMYFUNCTION("""COMPUTED_VALUE"""),3111.635)</f>
        <v>3111.635</v>
      </c>
      <c r="H16" s="17">
        <f>IFERROR(__xludf.DUMMYFUNCTION("""COMPUTED_VALUE"""),95153.34)</f>
        <v>95153.34</v>
      </c>
    </row>
    <row r="17">
      <c r="A17" s="18" t="str">
        <f>IFERROR(__xludf.DUMMYFUNCTION("""COMPUTED_VALUE"""),"TD AUTO FINANCE")</f>
        <v>TD AUTO FINANCE</v>
      </c>
      <c r="B17" s="16">
        <f>IFERROR(__xludf.DUMMYFUNCTION("""COMPUTED_VALUE"""),30.0)</f>
        <v>30</v>
      </c>
      <c r="C17" s="17">
        <f>IFERROR(__xludf.DUMMYFUNCTION("""COMPUTED_VALUE"""),803.6842857142858)</f>
        <v>803.6842857</v>
      </c>
      <c r="D17" s="17">
        <f>IFERROR(__xludf.DUMMYFUNCTION("""COMPUTED_VALUE"""),41853.70999999999)</f>
        <v>41853.71</v>
      </c>
      <c r="E17" s="17">
        <f>IFERROR(__xludf.DUMMYFUNCTION("""COMPUTED_VALUE"""),3383.617142857143)</f>
        <v>3383.617143</v>
      </c>
      <c r="F17" s="17">
        <f>IFERROR(__xludf.DUMMYFUNCTION("""COMPUTED_VALUE"""),114604.41000000002)</f>
        <v>114604.41</v>
      </c>
      <c r="G17" s="17">
        <f>IFERROR(__xludf.DUMMYFUNCTION("""COMPUTED_VALUE"""),4187.3)</f>
        <v>4187.3</v>
      </c>
      <c r="H17" s="17">
        <f>IFERROR(__xludf.DUMMYFUNCTION("""COMPUTED_VALUE"""),156458.12)</f>
        <v>156458.12</v>
      </c>
    </row>
    <row r="18">
      <c r="A18" s="18" t="str">
        <f>IFERROR(__xludf.DUMMYFUNCTION("""COMPUTED_VALUE"""),"PNC BANK")</f>
        <v>PNC BANK</v>
      </c>
      <c r="B18" s="16">
        <f>IFERROR(__xludf.DUMMYFUNCTION("""COMPUTED_VALUE"""),30.0)</f>
        <v>30</v>
      </c>
      <c r="C18" s="17">
        <f>IFERROR(__xludf.DUMMYFUNCTION("""COMPUTED_VALUE"""),195.31800000000007)</f>
        <v>195.318</v>
      </c>
      <c r="D18" s="17">
        <f>IFERROR(__xludf.DUMMYFUNCTION("""COMPUTED_VALUE"""),16561.039999999997)</f>
        <v>16561.04</v>
      </c>
      <c r="E18" s="17">
        <f>IFERROR(__xludf.DUMMYFUNCTION("""COMPUTED_VALUE"""),2658.9539999999997)</f>
        <v>2658.954</v>
      </c>
      <c r="F18" s="17">
        <f>IFERROR(__xludf.DUMMYFUNCTION("""COMPUTED_VALUE"""),85363.23)</f>
        <v>85363.23</v>
      </c>
      <c r="G18" s="17">
        <f>IFERROR(__xludf.DUMMYFUNCTION("""COMPUTED_VALUE"""),2854.272)</f>
        <v>2854.272</v>
      </c>
      <c r="H18" s="17">
        <f>IFERROR(__xludf.DUMMYFUNCTION("""COMPUTED_VALUE"""),101924.27)</f>
        <v>101924.27</v>
      </c>
    </row>
    <row r="19">
      <c r="A19" s="18" t="str">
        <f>IFERROR(__xludf.DUMMYFUNCTION("""COMPUTED_VALUE"""),"AMERICAN CREDIT ACCEPTANCE")</f>
        <v>AMERICAN CREDIT ACCEPTANCE</v>
      </c>
      <c r="B19" s="16">
        <f>IFERROR(__xludf.DUMMYFUNCTION("""COMPUTED_VALUE"""),28.0)</f>
        <v>28</v>
      </c>
      <c r="C19" s="17">
        <f>IFERROR(__xludf.DUMMYFUNCTION("""COMPUTED_VALUE"""),-109.42666666666669)</f>
        <v>-109.4266667</v>
      </c>
      <c r="D19" s="17">
        <f>IFERROR(__xludf.DUMMYFUNCTION("""COMPUTED_VALUE"""),-60852.409999999996)</f>
        <v>-60852.41</v>
      </c>
      <c r="E19" s="17">
        <f>IFERROR(__xludf.DUMMYFUNCTION("""COMPUTED_VALUE"""),2523.193333333333)</f>
        <v>2523.193333</v>
      </c>
      <c r="F19" s="17">
        <f>IFERROR(__xludf.DUMMYFUNCTION("""COMPUTED_VALUE"""),74957.0)</f>
        <v>74957</v>
      </c>
      <c r="G19" s="17">
        <f>IFERROR(__xludf.DUMMYFUNCTION("""COMPUTED_VALUE"""),2413.7666666666664)</f>
        <v>2413.766667</v>
      </c>
      <c r="H19" s="17">
        <f>IFERROR(__xludf.DUMMYFUNCTION("""COMPUTED_VALUE"""),14104.59)</f>
        <v>14104.59</v>
      </c>
    </row>
    <row r="20">
      <c r="A20" s="18" t="str">
        <f>IFERROR(__xludf.DUMMYFUNCTION("""COMPUTED_VALUE"""),"AMERICAN HONDA FINANCE")</f>
        <v>AMERICAN HONDA FINANCE</v>
      </c>
      <c r="B20" s="16">
        <f>IFERROR(__xludf.DUMMYFUNCTION("""COMPUTED_VALUE"""),25.0)</f>
        <v>25</v>
      </c>
      <c r="C20" s="17">
        <f>IFERROR(__xludf.DUMMYFUNCTION("""COMPUTED_VALUE"""),2423.91)</f>
        <v>2423.91</v>
      </c>
      <c r="D20" s="17">
        <f>IFERROR(__xludf.DUMMYFUNCTION("""COMPUTED_VALUE"""),26404.0)</f>
        <v>26404</v>
      </c>
      <c r="E20" s="17">
        <f>IFERROR(__xludf.DUMMYFUNCTION("""COMPUTED_VALUE"""),1447.77)</f>
        <v>1447.77</v>
      </c>
      <c r="F20" s="17">
        <f>IFERROR(__xludf.DUMMYFUNCTION("""COMPUTED_VALUE"""),54795.33)</f>
        <v>54795.33</v>
      </c>
      <c r="G20" s="17">
        <f>IFERROR(__xludf.DUMMYFUNCTION("""COMPUTED_VALUE"""),3871.675)</f>
        <v>3871.675</v>
      </c>
      <c r="H20" s="17">
        <f>IFERROR(__xludf.DUMMYFUNCTION("""COMPUTED_VALUE"""),81199.33)</f>
        <v>81199.33</v>
      </c>
    </row>
    <row r="21">
      <c r="A21" s="18" t="str">
        <f>IFERROR(__xludf.DUMMYFUNCTION("""COMPUTED_VALUE"""),"RED RIVER FCU")</f>
        <v>RED RIVER FCU</v>
      </c>
      <c r="B21" s="16">
        <f>IFERROR(__xludf.DUMMYFUNCTION("""COMPUTED_VALUE"""),23.0)</f>
        <v>23</v>
      </c>
      <c r="C21" s="17">
        <f>IFERROR(__xludf.DUMMYFUNCTION("""COMPUTED_VALUE"""),979.2925)</f>
        <v>979.2925</v>
      </c>
      <c r="D21" s="17">
        <f>IFERROR(__xludf.DUMMYFUNCTION("""COMPUTED_VALUE"""),5342.24)</f>
        <v>5342.24</v>
      </c>
      <c r="E21" s="17">
        <f>IFERROR(__xludf.DUMMYFUNCTION("""COMPUTED_VALUE"""),2514.9375)</f>
        <v>2514.9375</v>
      </c>
      <c r="F21" s="17">
        <f>IFERROR(__xludf.DUMMYFUNCTION("""COMPUTED_VALUE"""),85757.54999999999)</f>
        <v>85757.55</v>
      </c>
      <c r="G21" s="17">
        <f>IFERROR(__xludf.DUMMYFUNCTION("""COMPUTED_VALUE"""),3494.2300000000005)</f>
        <v>3494.23</v>
      </c>
      <c r="H21" s="17">
        <f>IFERROR(__xludf.DUMMYFUNCTION("""COMPUTED_VALUE"""),91099.79000000001)</f>
        <v>91099.79</v>
      </c>
    </row>
    <row r="22">
      <c r="A22" s="18" t="str">
        <f>IFERROR(__xludf.DUMMYFUNCTION("""COMPUTED_VALUE"""),"VW CREDIT")</f>
        <v>VW CREDIT</v>
      </c>
      <c r="B22" s="16">
        <f>IFERROR(__xludf.DUMMYFUNCTION("""COMPUTED_VALUE"""),21.0)</f>
        <v>21</v>
      </c>
      <c r="C22" s="17">
        <f>IFERROR(__xludf.DUMMYFUNCTION("""COMPUTED_VALUE"""),581.0133333333334)</f>
        <v>581.0133333</v>
      </c>
      <c r="D22" s="17">
        <f>IFERROR(__xludf.DUMMYFUNCTION("""COMPUTED_VALUE"""),10230.74)</f>
        <v>10230.74</v>
      </c>
      <c r="E22" s="17">
        <f>IFERROR(__xludf.DUMMYFUNCTION("""COMPUTED_VALUE"""),2464.51)</f>
        <v>2464.51</v>
      </c>
      <c r="F22" s="17">
        <f>IFERROR(__xludf.DUMMYFUNCTION("""COMPUTED_VALUE"""),55194.36)</f>
        <v>55194.36</v>
      </c>
      <c r="G22" s="17">
        <f>IFERROR(__xludf.DUMMYFUNCTION("""COMPUTED_VALUE"""),3045.5200000000004)</f>
        <v>3045.52</v>
      </c>
      <c r="H22" s="17">
        <f>IFERROR(__xludf.DUMMYFUNCTION("""COMPUTED_VALUE"""),65425.1)</f>
        <v>65425.1</v>
      </c>
    </row>
    <row r="23">
      <c r="A23" s="18" t="str">
        <f>IFERROR(__xludf.DUMMYFUNCTION("""COMPUTED_VALUE"""),"#N/A")</f>
        <v>#N/A</v>
      </c>
      <c r="B23" s="16">
        <f>IFERROR(__xludf.DUMMYFUNCTION("""COMPUTED_VALUE"""),19.0)</f>
        <v>19</v>
      </c>
      <c r="C23" s="17">
        <f>IFERROR(__xludf.DUMMYFUNCTION("""COMPUTED_VALUE"""),1510.505)</f>
        <v>1510.505</v>
      </c>
      <c r="D23" s="17">
        <f>IFERROR(__xludf.DUMMYFUNCTION("""COMPUTED_VALUE"""),22193.26)</f>
        <v>22193.26</v>
      </c>
      <c r="E23" s="17">
        <f>IFERROR(__xludf.DUMMYFUNCTION("""COMPUTED_VALUE"""),2066.6125)</f>
        <v>2066.6125</v>
      </c>
      <c r="F23" s="17">
        <f>IFERROR(__xludf.DUMMYFUNCTION("""COMPUTED_VALUE"""),42863.369999999995)</f>
        <v>42863.37</v>
      </c>
      <c r="G23" s="17">
        <f>IFERROR(__xludf.DUMMYFUNCTION("""COMPUTED_VALUE"""),3577.115)</f>
        <v>3577.115</v>
      </c>
      <c r="H23" s="17">
        <f>IFERROR(__xludf.DUMMYFUNCTION("""COMPUTED_VALUE"""),65056.63)</f>
        <v>65056.63</v>
      </c>
    </row>
    <row r="24">
      <c r="A24" s="18" t="str">
        <f>IFERROR(__xludf.DUMMYFUNCTION("""COMPUTED_VALUE"""),"BARKSDALE FCU")</f>
        <v>BARKSDALE FCU</v>
      </c>
      <c r="B24" s="16">
        <f>IFERROR(__xludf.DUMMYFUNCTION("""COMPUTED_VALUE"""),19.0)</f>
        <v>19</v>
      </c>
      <c r="C24" s="17">
        <f>IFERROR(__xludf.DUMMYFUNCTION("""COMPUTED_VALUE"""),325.96999999999997)</f>
        <v>325.97</v>
      </c>
      <c r="D24" s="17">
        <f>IFERROR(__xludf.DUMMYFUNCTION("""COMPUTED_VALUE"""),9234.0)</f>
        <v>9234</v>
      </c>
      <c r="E24" s="17">
        <f>IFERROR(__xludf.DUMMYFUNCTION("""COMPUTED_VALUE"""),2102.25)</f>
        <v>2102.25</v>
      </c>
      <c r="F24" s="17">
        <f>IFERROR(__xludf.DUMMYFUNCTION("""COMPUTED_VALUE"""),37497.27)</f>
        <v>37497.27</v>
      </c>
      <c r="G24" s="17">
        <f>IFERROR(__xludf.DUMMYFUNCTION("""COMPUTED_VALUE"""),2428.215)</f>
        <v>2428.215</v>
      </c>
      <c r="H24" s="17">
        <f>IFERROR(__xludf.DUMMYFUNCTION("""COMPUTED_VALUE"""),46731.27)</f>
        <v>46731.27</v>
      </c>
    </row>
    <row r="25">
      <c r="A25" s="18" t="str">
        <f>IFERROR(__xludf.DUMMYFUNCTION("""COMPUTED_VALUE"""),"ARVEST BANK")</f>
        <v>ARVEST BANK</v>
      </c>
      <c r="B25" s="16">
        <f>IFERROR(__xludf.DUMMYFUNCTION("""COMPUTED_VALUE"""),19.0)</f>
        <v>19</v>
      </c>
      <c r="C25" s="17">
        <f>IFERROR(__xludf.DUMMYFUNCTION("""COMPUTED_VALUE"""),433.12500000000006)</f>
        <v>433.125</v>
      </c>
      <c r="D25" s="17">
        <f>IFERROR(__xludf.DUMMYFUNCTION("""COMPUTED_VALUE"""),11124.4)</f>
        <v>11124.4</v>
      </c>
      <c r="E25" s="17">
        <f>IFERROR(__xludf.DUMMYFUNCTION("""COMPUTED_VALUE"""),2474.7999999999997)</f>
        <v>2474.8</v>
      </c>
      <c r="F25" s="17">
        <f>IFERROR(__xludf.DUMMYFUNCTION("""COMPUTED_VALUE"""),50093.04)</f>
        <v>50093.04</v>
      </c>
      <c r="G25" s="17">
        <f>IFERROR(__xludf.DUMMYFUNCTION("""COMPUTED_VALUE"""),2907.925)</f>
        <v>2907.925</v>
      </c>
      <c r="H25" s="17">
        <f>IFERROR(__xludf.DUMMYFUNCTION("""COMPUTED_VALUE"""),61217.44)</f>
        <v>61217.44</v>
      </c>
    </row>
    <row r="26">
      <c r="A26" s="18" t="str">
        <f>IFERROR(__xludf.DUMMYFUNCTION("""COMPUTED_VALUE"""),"FIFTH THIRD BANK")</f>
        <v>FIFTH THIRD BANK</v>
      </c>
      <c r="B26" s="16">
        <f>IFERROR(__xludf.DUMMYFUNCTION("""COMPUTED_VALUE"""),17.0)</f>
        <v>17</v>
      </c>
      <c r="C26" s="17">
        <f>IFERROR(__xludf.DUMMYFUNCTION("""COMPUTED_VALUE"""),977.3000000000001)</f>
        <v>977.3</v>
      </c>
      <c r="D26" s="17">
        <f>IFERROR(__xludf.DUMMYFUNCTION("""COMPUTED_VALUE"""),10823.050000000001)</f>
        <v>10823.05</v>
      </c>
      <c r="E26" s="17">
        <f>IFERROR(__xludf.DUMMYFUNCTION("""COMPUTED_VALUE"""),3477.0699999999997)</f>
        <v>3477.07</v>
      </c>
      <c r="F26" s="17">
        <f>IFERROR(__xludf.DUMMYFUNCTION("""COMPUTED_VALUE"""),46280.78)</f>
        <v>46280.78</v>
      </c>
      <c r="G26" s="17">
        <f>IFERROR(__xludf.DUMMYFUNCTION("""COMPUTED_VALUE"""),4454.37)</f>
        <v>4454.37</v>
      </c>
      <c r="H26" s="17">
        <f>IFERROR(__xludf.DUMMYFUNCTION("""COMPUTED_VALUE"""),57103.83)</f>
        <v>57103.83</v>
      </c>
    </row>
    <row r="27">
      <c r="A27" s="18" t="str">
        <f>IFERROR(__xludf.DUMMYFUNCTION("""COMPUTED_VALUE"""),"COMMERCE BANK")</f>
        <v>COMMERCE BANK</v>
      </c>
      <c r="B27" s="16">
        <f>IFERROR(__xludf.DUMMYFUNCTION("""COMPUTED_VALUE"""),16.0)</f>
        <v>16</v>
      </c>
      <c r="C27" s="17">
        <f>IFERROR(__xludf.DUMMYFUNCTION("""COMPUTED_VALUE"""),2232.2925)</f>
        <v>2232.2925</v>
      </c>
      <c r="D27" s="17">
        <f>IFERROR(__xludf.DUMMYFUNCTION("""COMPUTED_VALUE"""),31434.979999999996)</f>
        <v>31434.98</v>
      </c>
      <c r="E27" s="17">
        <f>IFERROR(__xludf.DUMMYFUNCTION("""COMPUTED_VALUE"""),2631.6349999999998)</f>
        <v>2631.635</v>
      </c>
      <c r="F27" s="17">
        <f>IFERROR(__xludf.DUMMYFUNCTION("""COMPUTED_VALUE"""),26635.37)</f>
        <v>26635.37</v>
      </c>
      <c r="G27" s="17">
        <f>IFERROR(__xludf.DUMMYFUNCTION("""COMPUTED_VALUE"""),4863.9275)</f>
        <v>4863.9275</v>
      </c>
      <c r="H27" s="17">
        <f>IFERROR(__xludf.DUMMYFUNCTION("""COMPUTED_VALUE"""),58070.35)</f>
        <v>58070.35</v>
      </c>
    </row>
    <row r="28">
      <c r="A28" s="18" t="str">
        <f>IFERROR(__xludf.DUMMYFUNCTION("""COMPUTED_VALUE"""),"WESTLAKE FINANCIAL SERVICES")</f>
        <v>WESTLAKE FINANCIAL SERVICES</v>
      </c>
      <c r="B28" s="16">
        <f>IFERROR(__xludf.DUMMYFUNCTION("""COMPUTED_VALUE"""),13.0)</f>
        <v>13</v>
      </c>
      <c r="C28" s="17">
        <f>IFERROR(__xludf.DUMMYFUNCTION("""COMPUTED_VALUE"""),919.2599999999999)</f>
        <v>919.26</v>
      </c>
      <c r="D28" s="17">
        <f>IFERROR(__xludf.DUMMYFUNCTION("""COMPUTED_VALUE"""),13312.99)</f>
        <v>13312.99</v>
      </c>
      <c r="E28" s="17">
        <f>IFERROR(__xludf.DUMMYFUNCTION("""COMPUTED_VALUE"""),1390.874)</f>
        <v>1390.874</v>
      </c>
      <c r="F28" s="17">
        <f>IFERROR(__xludf.DUMMYFUNCTION("""COMPUTED_VALUE"""),14550.140000000001)</f>
        <v>14550.14</v>
      </c>
      <c r="G28" s="17">
        <f>IFERROR(__xludf.DUMMYFUNCTION("""COMPUTED_VALUE"""),2310.1360000000004)</f>
        <v>2310.136</v>
      </c>
      <c r="H28" s="17">
        <f>IFERROR(__xludf.DUMMYFUNCTION("""COMPUTED_VALUE"""),27863.130000000005)</f>
        <v>27863.13</v>
      </c>
    </row>
    <row r="29">
      <c r="A29" s="18" t="str">
        <f>IFERROR(__xludf.DUMMYFUNCTION("""COMPUTED_VALUE"""),"JP MORGAN CHASE BANK")</f>
        <v>JP MORGAN CHASE BANK</v>
      </c>
      <c r="B29" s="16">
        <f>IFERROR(__xludf.DUMMYFUNCTION("""COMPUTED_VALUE"""),13.0)</f>
        <v>13</v>
      </c>
      <c r="C29" s="17">
        <f>IFERROR(__xludf.DUMMYFUNCTION("""COMPUTED_VALUE"""),1041.9650000000001)</f>
        <v>1041.965</v>
      </c>
      <c r="D29" s="17">
        <f>IFERROR(__xludf.DUMMYFUNCTION("""COMPUTED_VALUE"""),-465.670000000001)</f>
        <v>-465.67</v>
      </c>
      <c r="E29" s="17">
        <f>IFERROR(__xludf.DUMMYFUNCTION("""COMPUTED_VALUE"""),2891.1099999999997)</f>
        <v>2891.11</v>
      </c>
      <c r="F29" s="17">
        <f>IFERROR(__xludf.DUMMYFUNCTION("""COMPUTED_VALUE"""),30833.190000000002)</f>
        <v>30833.19</v>
      </c>
      <c r="G29" s="17">
        <f>IFERROR(__xludf.DUMMYFUNCTION("""COMPUTED_VALUE"""),3933.0750000000003)</f>
        <v>3933.075</v>
      </c>
      <c r="H29" s="17">
        <f>IFERROR(__xludf.DUMMYFUNCTION("""COMPUTED_VALUE"""),30367.520000000004)</f>
        <v>30367.52</v>
      </c>
    </row>
    <row r="30">
      <c r="A30" s="18" t="str">
        <f>IFERROR(__xludf.DUMMYFUNCTION("""COMPUTED_VALUE"""),"CUA")</f>
        <v>CUA</v>
      </c>
      <c r="B30" s="16">
        <f>IFERROR(__xludf.DUMMYFUNCTION("""COMPUTED_VALUE"""),13.0)</f>
        <v>13</v>
      </c>
      <c r="C30" s="17">
        <f>IFERROR(__xludf.DUMMYFUNCTION("""COMPUTED_VALUE"""),647.67)</f>
        <v>647.67</v>
      </c>
      <c r="D30" s="17">
        <f>IFERROR(__xludf.DUMMYFUNCTION("""COMPUTED_VALUE"""),8419.74)</f>
        <v>8419.74</v>
      </c>
      <c r="E30" s="17">
        <f>IFERROR(__xludf.DUMMYFUNCTION("""COMPUTED_VALUE"""),2653.94)</f>
        <v>2653.94</v>
      </c>
      <c r="F30" s="17">
        <f>IFERROR(__xludf.DUMMYFUNCTION("""COMPUTED_VALUE"""),34501.28)</f>
        <v>34501.28</v>
      </c>
      <c r="G30" s="17">
        <f>IFERROR(__xludf.DUMMYFUNCTION("""COMPUTED_VALUE"""),3301.62)</f>
        <v>3301.62</v>
      </c>
      <c r="H30" s="17">
        <f>IFERROR(__xludf.DUMMYFUNCTION("""COMPUTED_VALUE"""),42921.02)</f>
        <v>42921.02</v>
      </c>
    </row>
    <row r="31">
      <c r="A31" s="18" t="str">
        <f>IFERROR(__xludf.DUMMYFUNCTION("""COMPUTED_VALUE"""),"CHRYSLER CAPITAL")</f>
        <v>CHRYSLER CAPITAL</v>
      </c>
      <c r="B31" s="16">
        <f>IFERROR(__xludf.DUMMYFUNCTION("""COMPUTED_VALUE"""),13.0)</f>
        <v>13</v>
      </c>
      <c r="C31" s="17">
        <f>IFERROR(__xludf.DUMMYFUNCTION("""COMPUTED_VALUE"""),890.86)</f>
        <v>890.86</v>
      </c>
      <c r="D31" s="17">
        <f>IFERROR(__xludf.DUMMYFUNCTION("""COMPUTED_VALUE"""),10237.970000000001)</f>
        <v>10237.97</v>
      </c>
      <c r="E31" s="17">
        <f>IFERROR(__xludf.DUMMYFUNCTION("""COMPUTED_VALUE"""),2049.226666666667)</f>
        <v>2049.226667</v>
      </c>
      <c r="F31" s="17">
        <f>IFERROR(__xludf.DUMMYFUNCTION("""COMPUTED_VALUE"""),26313.06)</f>
        <v>26313.06</v>
      </c>
      <c r="G31" s="17">
        <f>IFERROR(__xludf.DUMMYFUNCTION("""COMPUTED_VALUE"""),2940.0866666666666)</f>
        <v>2940.086667</v>
      </c>
      <c r="H31" s="17">
        <f>IFERROR(__xludf.DUMMYFUNCTION("""COMPUTED_VALUE"""),36551.03)</f>
        <v>36551.03</v>
      </c>
    </row>
    <row r="32">
      <c r="A32" s="18" t="str">
        <f>IFERROR(__xludf.DUMMYFUNCTION("""COMPUTED_VALUE"""),"ARKANSAS FCU")</f>
        <v>ARKANSAS FCU</v>
      </c>
      <c r="B32" s="16">
        <f>IFERROR(__xludf.DUMMYFUNCTION("""COMPUTED_VALUE"""),12.0)</f>
        <v>12</v>
      </c>
      <c r="C32" s="17">
        <f>IFERROR(__xludf.DUMMYFUNCTION("""COMPUTED_VALUE"""),2288.56)</f>
        <v>2288.56</v>
      </c>
      <c r="D32" s="17">
        <f>IFERROR(__xludf.DUMMYFUNCTION("""COMPUTED_VALUE"""),27462.66)</f>
        <v>27462.66</v>
      </c>
      <c r="E32" s="17">
        <f>IFERROR(__xludf.DUMMYFUNCTION("""COMPUTED_VALUE"""),2430.17)</f>
        <v>2430.17</v>
      </c>
      <c r="F32" s="17">
        <f>IFERROR(__xludf.DUMMYFUNCTION("""COMPUTED_VALUE"""),29162.05)</f>
        <v>29162.05</v>
      </c>
      <c r="G32" s="17">
        <f>IFERROR(__xludf.DUMMYFUNCTION("""COMPUTED_VALUE"""),4718.73)</f>
        <v>4718.73</v>
      </c>
      <c r="H32" s="17">
        <f>IFERROR(__xludf.DUMMYFUNCTION("""COMPUTED_VALUE"""),56624.71)</f>
        <v>56624.71</v>
      </c>
    </row>
    <row r="33">
      <c r="A33" s="18" t="str">
        <f>IFERROR(__xludf.DUMMYFUNCTION("""COMPUTED_VALUE"""),"TINKER FCU")</f>
        <v>TINKER FCU</v>
      </c>
      <c r="B33" s="16">
        <f>IFERROR(__xludf.DUMMYFUNCTION("""COMPUTED_VALUE"""),10.0)</f>
        <v>10</v>
      </c>
      <c r="C33" s="17">
        <f>IFERROR(__xludf.DUMMYFUNCTION("""COMPUTED_VALUE"""),499.26)</f>
        <v>499.26</v>
      </c>
      <c r="D33" s="17">
        <f>IFERROR(__xludf.DUMMYFUNCTION("""COMPUTED_VALUE"""),4992.59)</f>
        <v>4992.59</v>
      </c>
      <c r="E33" s="17">
        <f>IFERROR(__xludf.DUMMYFUNCTION("""COMPUTED_VALUE"""),1487.53)</f>
        <v>1487.53</v>
      </c>
      <c r="F33" s="17">
        <f>IFERROR(__xludf.DUMMYFUNCTION("""COMPUTED_VALUE"""),14875.25)</f>
        <v>14875.25</v>
      </c>
      <c r="G33" s="17">
        <f>IFERROR(__xludf.DUMMYFUNCTION("""COMPUTED_VALUE"""),1986.78)</f>
        <v>1986.78</v>
      </c>
      <c r="H33" s="17">
        <f>IFERROR(__xludf.DUMMYFUNCTION("""COMPUTED_VALUE"""),19867.84)</f>
        <v>19867.84</v>
      </c>
    </row>
    <row r="34">
      <c r="A34" s="18" t="str">
        <f>IFERROR(__xludf.DUMMYFUNCTION("""COMPUTED_VALUE"""),"GM FINANCIAL SERVICES")</f>
        <v>GM FINANCIAL SERVICES</v>
      </c>
      <c r="B34" s="16">
        <f>IFERROR(__xludf.DUMMYFUNCTION("""COMPUTED_VALUE"""),10.0)</f>
        <v>10</v>
      </c>
      <c r="C34" s="17">
        <f>IFERROR(__xludf.DUMMYFUNCTION("""COMPUTED_VALUE"""),216.86500000000004)</f>
        <v>216.865</v>
      </c>
      <c r="D34" s="17">
        <f>IFERROR(__xludf.DUMMYFUNCTION("""COMPUTED_VALUE"""),11126.69)</f>
        <v>11126.69</v>
      </c>
      <c r="E34" s="17">
        <f>IFERROR(__xludf.DUMMYFUNCTION("""COMPUTED_VALUE"""),2030.3725)</f>
        <v>2030.3725</v>
      </c>
      <c r="F34" s="17">
        <f>IFERROR(__xludf.DUMMYFUNCTION("""COMPUTED_VALUE"""),22121.92)</f>
        <v>22121.92</v>
      </c>
      <c r="G34" s="17">
        <f>IFERROR(__xludf.DUMMYFUNCTION("""COMPUTED_VALUE"""),2247.2400000000002)</f>
        <v>2247.24</v>
      </c>
      <c r="H34" s="17">
        <f>IFERROR(__xludf.DUMMYFUNCTION("""COMPUTED_VALUE"""),33248.60999999999)</f>
        <v>33248.61</v>
      </c>
    </row>
    <row r="35">
      <c r="A35" s="18" t="str">
        <f>IFERROR(__xludf.DUMMYFUNCTION("""COMPUTED_VALUE"""),"COMMUNICATION FCU")</f>
        <v>COMMUNICATION FCU</v>
      </c>
      <c r="B35" s="16">
        <f>IFERROR(__xludf.DUMMYFUNCTION("""COMPUTED_VALUE"""),10.0)</f>
        <v>10</v>
      </c>
      <c r="C35" s="17">
        <f>IFERROR(__xludf.DUMMYFUNCTION("""COMPUTED_VALUE"""),-201.94)</f>
        <v>-201.94</v>
      </c>
      <c r="D35" s="17">
        <f>IFERROR(__xludf.DUMMYFUNCTION("""COMPUTED_VALUE"""),-2019.4)</f>
        <v>-2019.4</v>
      </c>
      <c r="E35" s="17">
        <f>IFERROR(__xludf.DUMMYFUNCTION("""COMPUTED_VALUE"""),2156.89)</f>
        <v>2156.89</v>
      </c>
      <c r="F35" s="17">
        <f>IFERROR(__xludf.DUMMYFUNCTION("""COMPUTED_VALUE"""),21568.87)</f>
        <v>21568.87</v>
      </c>
      <c r="G35" s="17">
        <f>IFERROR(__xludf.DUMMYFUNCTION("""COMPUTED_VALUE"""),1954.95)</f>
        <v>1954.95</v>
      </c>
      <c r="H35" s="17">
        <f>IFERROR(__xludf.DUMMYFUNCTION("""COMPUTED_VALUE"""),19549.47)</f>
        <v>19549.47</v>
      </c>
    </row>
    <row r="36">
      <c r="A36" s="15" t="str">
        <f>IFERROR(__xludf.DUMMYFUNCTION("""COMPUTED_VALUE"""),"WEOKIE FCU")</f>
        <v>WEOKIE FCU</v>
      </c>
      <c r="B36" s="16">
        <f>IFERROR(__xludf.DUMMYFUNCTION("""COMPUTED_VALUE"""),9.0)</f>
        <v>9</v>
      </c>
      <c r="C36" s="17">
        <f>IFERROR(__xludf.DUMMYFUNCTION("""COMPUTED_VALUE"""),295.08)</f>
        <v>295.08</v>
      </c>
      <c r="D36" s="17">
        <f>IFERROR(__xludf.DUMMYFUNCTION("""COMPUTED_VALUE"""),2655.74)</f>
        <v>2655.74</v>
      </c>
      <c r="E36" s="17">
        <f>IFERROR(__xludf.DUMMYFUNCTION("""COMPUTED_VALUE"""),2004.2)</f>
        <v>2004.2</v>
      </c>
      <c r="F36" s="17">
        <f>IFERROR(__xludf.DUMMYFUNCTION("""COMPUTED_VALUE"""),18037.84)</f>
        <v>18037.84</v>
      </c>
      <c r="G36" s="17">
        <f>IFERROR(__xludf.DUMMYFUNCTION("""COMPUTED_VALUE"""),2299.29)</f>
        <v>2299.29</v>
      </c>
      <c r="H36" s="17">
        <f>IFERROR(__xludf.DUMMYFUNCTION("""COMPUTED_VALUE"""),20693.58)</f>
        <v>20693.58</v>
      </c>
    </row>
    <row r="37">
      <c r="A37" s="18" t="str">
        <f>IFERROR(__xludf.DUMMYFUNCTION("""COMPUTED_VALUE"""),"AMERICREDIT FINANCIAL SERVICES")</f>
        <v>AMERICREDIT FINANCIAL SERVICES</v>
      </c>
      <c r="B37" s="16">
        <f>IFERROR(__xludf.DUMMYFUNCTION("""COMPUTED_VALUE"""),8.0)</f>
        <v>8</v>
      </c>
      <c r="C37" s="17">
        <f>IFERROR(__xludf.DUMMYFUNCTION("""COMPUTED_VALUE"""),-742.4628571428572)</f>
        <v>-742.4628571</v>
      </c>
      <c r="D37" s="17">
        <f>IFERROR(__xludf.DUMMYFUNCTION("""COMPUTED_VALUE"""),-5712.27)</f>
        <v>-5712.27</v>
      </c>
      <c r="E37" s="17">
        <f>IFERROR(__xludf.DUMMYFUNCTION("""COMPUTED_VALUE"""),1703.3271428571427)</f>
        <v>1703.327143</v>
      </c>
      <c r="F37" s="17">
        <f>IFERROR(__xludf.DUMMYFUNCTION("""COMPUTED_VALUE"""),14705.759999999998)</f>
        <v>14705.76</v>
      </c>
      <c r="G37" s="17">
        <f>IFERROR(__xludf.DUMMYFUNCTION("""COMPUTED_VALUE"""),960.8642857142858)</f>
        <v>960.8642857</v>
      </c>
      <c r="H37" s="17">
        <f>IFERROR(__xludf.DUMMYFUNCTION("""COMPUTED_VALUE"""),8993.490000000002)</f>
        <v>8993.49</v>
      </c>
    </row>
    <row r="38">
      <c r="A38" s="18" t="str">
        <f>IFERROR(__xludf.DUMMYFUNCTION("""COMPUTED_VALUE"""),"TEXELL CU")</f>
        <v>TEXELL CU</v>
      </c>
      <c r="B38" s="16">
        <f>IFERROR(__xludf.DUMMYFUNCTION("""COMPUTED_VALUE"""),7.0)</f>
        <v>7</v>
      </c>
      <c r="C38" s="17">
        <f>IFERROR(__xludf.DUMMYFUNCTION("""COMPUTED_VALUE"""),1012.35)</f>
        <v>1012.35</v>
      </c>
      <c r="D38" s="17">
        <f>IFERROR(__xludf.DUMMYFUNCTION("""COMPUTED_VALUE"""),7086.48)</f>
        <v>7086.48</v>
      </c>
      <c r="E38" s="17">
        <f>IFERROR(__xludf.DUMMYFUNCTION("""COMPUTED_VALUE"""),1634.53)</f>
        <v>1634.53</v>
      </c>
      <c r="F38" s="17">
        <f>IFERROR(__xludf.DUMMYFUNCTION("""COMPUTED_VALUE"""),11441.73)</f>
        <v>11441.73</v>
      </c>
      <c r="G38" s="17">
        <f>IFERROR(__xludf.DUMMYFUNCTION("""COMPUTED_VALUE"""),2646.89)</f>
        <v>2646.89</v>
      </c>
      <c r="H38" s="17">
        <f>IFERROR(__xludf.DUMMYFUNCTION("""COMPUTED_VALUE"""),18528.21)</f>
        <v>18528.21</v>
      </c>
    </row>
    <row r="39">
      <c r="A39" s="18" t="str">
        <f>IFERROR(__xludf.DUMMYFUNCTION("""COMPUTED_VALUE"""),"STELLANTIS FINANCIAL SERV")</f>
        <v>STELLANTIS FINANCIAL SERV</v>
      </c>
      <c r="B39" s="16">
        <f>IFERROR(__xludf.DUMMYFUNCTION("""COMPUTED_VALUE"""),6.0)</f>
        <v>6</v>
      </c>
      <c r="C39" s="17">
        <f>IFERROR(__xludf.DUMMYFUNCTION("""COMPUTED_VALUE"""),148.78666666666672)</f>
        <v>148.7866667</v>
      </c>
      <c r="D39" s="17">
        <f>IFERROR(__xludf.DUMMYFUNCTION("""COMPUTED_VALUE"""),1321.22)</f>
        <v>1321.22</v>
      </c>
      <c r="E39" s="17">
        <f>IFERROR(__xludf.DUMMYFUNCTION("""COMPUTED_VALUE"""),3405.396666666666)</f>
        <v>3405.396667</v>
      </c>
      <c r="F39" s="17">
        <f>IFERROR(__xludf.DUMMYFUNCTION("""COMPUTED_VALUE"""),19330.57)</f>
        <v>19330.57</v>
      </c>
      <c r="G39" s="17">
        <f>IFERROR(__xludf.DUMMYFUNCTION("""COMPUTED_VALUE"""),3554.18)</f>
        <v>3554.18</v>
      </c>
      <c r="H39" s="17">
        <f>IFERROR(__xludf.DUMMYFUNCTION("""COMPUTED_VALUE"""),20651.79)</f>
        <v>20651.79</v>
      </c>
    </row>
    <row r="40">
      <c r="A40" s="18" t="str">
        <f>IFERROR(__xludf.DUMMYFUNCTION("""COMPUTED_VALUE"""),"CONSUMER PORTFOLIO SERVICES")</f>
        <v>CONSUMER PORTFOLIO SERVICES</v>
      </c>
      <c r="B40" s="16">
        <f>IFERROR(__xludf.DUMMYFUNCTION("""COMPUTED_VALUE"""),6.0)</f>
        <v>6</v>
      </c>
      <c r="C40" s="17">
        <f>IFERROR(__xludf.DUMMYFUNCTION("""COMPUTED_VALUE"""),189.43499999999995)</f>
        <v>189.435</v>
      </c>
      <c r="D40" s="17">
        <f>IFERROR(__xludf.DUMMYFUNCTION("""COMPUTED_VALUE"""),5349.16)</f>
        <v>5349.16</v>
      </c>
      <c r="E40" s="17">
        <f>IFERROR(__xludf.DUMMYFUNCTION("""COMPUTED_VALUE"""),726.885)</f>
        <v>726.885</v>
      </c>
      <c r="F40" s="17">
        <f>IFERROR(__xludf.DUMMYFUNCTION("""COMPUTED_VALUE"""),5698.67)</f>
        <v>5698.67</v>
      </c>
      <c r="G40" s="17">
        <f>IFERROR(__xludf.DUMMYFUNCTION("""COMPUTED_VALUE"""),916.32)</f>
        <v>916.32</v>
      </c>
      <c r="H40" s="17">
        <f>IFERROR(__xludf.DUMMYFUNCTION("""COMPUTED_VALUE"""),11047.83)</f>
        <v>11047.83</v>
      </c>
    </row>
    <row r="41">
      <c r="A41" s="18" t="str">
        <f>IFERROR(__xludf.DUMMYFUNCTION("""COMPUTED_VALUE"""),"DATCU")</f>
        <v>DATCU</v>
      </c>
      <c r="B41" s="16">
        <f>IFERROR(__xludf.DUMMYFUNCTION("""COMPUTED_VALUE"""),5.0)</f>
        <v>5</v>
      </c>
      <c r="C41" s="17">
        <f>IFERROR(__xludf.DUMMYFUNCTION("""COMPUTED_VALUE"""),1311.35)</f>
        <v>1311.35</v>
      </c>
      <c r="D41" s="17">
        <f>IFERROR(__xludf.DUMMYFUNCTION("""COMPUTED_VALUE"""),6556.74)</f>
        <v>6556.74</v>
      </c>
      <c r="E41" s="17">
        <f>IFERROR(__xludf.DUMMYFUNCTION("""COMPUTED_VALUE"""),2103.51)</f>
        <v>2103.51</v>
      </c>
      <c r="F41" s="17">
        <f>IFERROR(__xludf.DUMMYFUNCTION("""COMPUTED_VALUE"""),10517.54)</f>
        <v>10517.54</v>
      </c>
      <c r="G41" s="17">
        <f>IFERROR(__xludf.DUMMYFUNCTION("""COMPUTED_VALUE"""),3414.86)</f>
        <v>3414.86</v>
      </c>
      <c r="H41" s="17">
        <f>IFERROR(__xludf.DUMMYFUNCTION("""COMPUTED_VALUE"""),17074.28)</f>
        <v>17074.28</v>
      </c>
    </row>
    <row r="42">
      <c r="A42" s="18" t="str">
        <f>IFERROR(__xludf.DUMMYFUNCTION("""COMPUTED_VALUE"""),"INDEPENDENT BANK")</f>
        <v>INDEPENDENT BANK</v>
      </c>
      <c r="B42" s="16">
        <f>IFERROR(__xludf.DUMMYFUNCTION("""COMPUTED_VALUE"""),4.0)</f>
        <v>4</v>
      </c>
      <c r="C42" s="17">
        <f>IFERROR(__xludf.DUMMYFUNCTION("""COMPUTED_VALUE"""),-888.35)</f>
        <v>-888.35</v>
      </c>
      <c r="D42" s="17">
        <f>IFERROR(__xludf.DUMMYFUNCTION("""COMPUTED_VALUE"""),-3553.39)</f>
        <v>-3553.39</v>
      </c>
      <c r="E42" s="17">
        <f>IFERROR(__xludf.DUMMYFUNCTION("""COMPUTED_VALUE"""),2455.38)</f>
        <v>2455.38</v>
      </c>
      <c r="F42" s="17">
        <f>IFERROR(__xludf.DUMMYFUNCTION("""COMPUTED_VALUE"""),9821.52)</f>
        <v>9821.52</v>
      </c>
      <c r="G42" s="17">
        <f>IFERROR(__xludf.DUMMYFUNCTION("""COMPUTED_VALUE"""),1567.03)</f>
        <v>1567.03</v>
      </c>
      <c r="H42" s="17">
        <f>IFERROR(__xludf.DUMMYFUNCTION("""COMPUTED_VALUE"""),6268.13)</f>
        <v>6268.13</v>
      </c>
    </row>
    <row r="43">
      <c r="A43" s="18" t="str">
        <f>IFERROR(__xludf.DUMMYFUNCTION("""COMPUTED_VALUE"""),"FOURSIGHT CAPITAL ")</f>
        <v>FOURSIGHT CAPITAL </v>
      </c>
      <c r="B43" s="16">
        <f>IFERROR(__xludf.DUMMYFUNCTION("""COMPUTED_VALUE"""),4.0)</f>
        <v>4</v>
      </c>
      <c r="C43" s="17">
        <f>IFERROR(__xludf.DUMMYFUNCTION("""COMPUTED_VALUE"""),2414.7175)</f>
        <v>2414.7175</v>
      </c>
      <c r="D43" s="17">
        <f>IFERROR(__xludf.DUMMYFUNCTION("""COMPUTED_VALUE"""),9658.87)</f>
        <v>9658.87</v>
      </c>
      <c r="E43" s="17">
        <f>IFERROR(__xludf.DUMMYFUNCTION("""COMPUTED_VALUE"""),2874.3974999999996)</f>
        <v>2874.3975</v>
      </c>
      <c r="F43" s="17">
        <f>IFERROR(__xludf.DUMMYFUNCTION("""COMPUTED_VALUE"""),11497.589999999998)</f>
        <v>11497.59</v>
      </c>
      <c r="G43" s="17">
        <f>IFERROR(__xludf.DUMMYFUNCTION("""COMPUTED_VALUE"""),5289.115000000001)</f>
        <v>5289.115</v>
      </c>
      <c r="H43" s="17">
        <f>IFERROR(__xludf.DUMMYFUNCTION("""COMPUTED_VALUE"""),21156.460000000003)</f>
        <v>21156.46</v>
      </c>
    </row>
    <row r="44">
      <c r="A44" s="18" t="str">
        <f>IFERROR(__xludf.DUMMYFUNCTION("""COMPUTED_VALUE"""),"CREDIT ACCEPTANCE CORPORATION")</f>
        <v>CREDIT ACCEPTANCE CORPORATION</v>
      </c>
      <c r="B44" s="16">
        <f>IFERROR(__xludf.DUMMYFUNCTION("""COMPUTED_VALUE"""),4.0)</f>
        <v>4</v>
      </c>
      <c r="C44" s="17">
        <f>IFERROR(__xludf.DUMMYFUNCTION("""COMPUTED_VALUE"""),1309.1599999999999)</f>
        <v>1309.16</v>
      </c>
      <c r="D44" s="17">
        <f>IFERROR(__xludf.DUMMYFUNCTION("""COMPUTED_VALUE"""),5171.78)</f>
        <v>5171.78</v>
      </c>
      <c r="E44" s="17">
        <f>IFERROR(__xludf.DUMMYFUNCTION("""COMPUTED_VALUE"""),1236.8333333333333)</f>
        <v>1236.833333</v>
      </c>
      <c r="F44" s="17">
        <f>IFERROR(__xludf.DUMMYFUNCTION("""COMPUTED_VALUE"""),4421.0)</f>
        <v>4421</v>
      </c>
      <c r="G44" s="17">
        <f>IFERROR(__xludf.DUMMYFUNCTION("""COMPUTED_VALUE"""),2545.9933333333333)</f>
        <v>2545.993333</v>
      </c>
      <c r="H44" s="17">
        <f>IFERROR(__xludf.DUMMYFUNCTION("""COMPUTED_VALUE"""),9592.78)</f>
        <v>9592.78</v>
      </c>
    </row>
    <row r="45">
      <c r="A45" s="18" t="str">
        <f>IFERROR(__xludf.DUMMYFUNCTION("""COMPUTED_VALUE"""),"UNION SQUARE CU")</f>
        <v>UNION SQUARE CU</v>
      </c>
      <c r="B45" s="16">
        <f>IFERROR(__xludf.DUMMYFUNCTION("""COMPUTED_VALUE"""),3.0)</f>
        <v>3</v>
      </c>
      <c r="C45" s="17">
        <f>IFERROR(__xludf.DUMMYFUNCTION("""COMPUTED_VALUE"""),2234.25)</f>
        <v>2234.25</v>
      </c>
      <c r="D45" s="17">
        <f>IFERROR(__xludf.DUMMYFUNCTION("""COMPUTED_VALUE"""),6702.76)</f>
        <v>6702.76</v>
      </c>
      <c r="E45" s="17">
        <f>IFERROR(__xludf.DUMMYFUNCTION("""COMPUTED_VALUE"""),3301.37)</f>
        <v>3301.37</v>
      </c>
      <c r="F45" s="17">
        <f>IFERROR(__xludf.DUMMYFUNCTION("""COMPUTED_VALUE"""),9904.11)</f>
        <v>9904.11</v>
      </c>
      <c r="G45" s="17">
        <f>IFERROR(__xludf.DUMMYFUNCTION("""COMPUTED_VALUE"""),5535.62)</f>
        <v>5535.62</v>
      </c>
      <c r="H45" s="17">
        <f>IFERROR(__xludf.DUMMYFUNCTION("""COMPUTED_VALUE"""),16606.87)</f>
        <v>16606.87</v>
      </c>
    </row>
    <row r="46">
      <c r="A46" s="18" t="str">
        <f>IFERROR(__xludf.DUMMYFUNCTION("""COMPUTED_VALUE"""),"FLAGSHIP CREDIT ACCEPTANCE")</f>
        <v>FLAGSHIP CREDIT ACCEPTANCE</v>
      </c>
      <c r="B46" s="16">
        <f>IFERROR(__xludf.DUMMYFUNCTION("""COMPUTED_VALUE"""),3.0)</f>
        <v>3</v>
      </c>
      <c r="C46" s="17">
        <f>IFERROR(__xludf.DUMMYFUNCTION("""COMPUTED_VALUE"""),657.8533333333334)</f>
        <v>657.8533333</v>
      </c>
      <c r="D46" s="17">
        <f>IFERROR(__xludf.DUMMYFUNCTION("""COMPUTED_VALUE"""),1973.56)</f>
        <v>1973.56</v>
      </c>
      <c r="E46" s="17">
        <f>IFERROR(__xludf.DUMMYFUNCTION("""COMPUTED_VALUE"""),1123.8766666666668)</f>
        <v>1123.876667</v>
      </c>
      <c r="F46" s="17">
        <f>IFERROR(__xludf.DUMMYFUNCTION("""COMPUTED_VALUE"""),3371.63)</f>
        <v>3371.63</v>
      </c>
      <c r="G46" s="17">
        <f>IFERROR(__xludf.DUMMYFUNCTION("""COMPUTED_VALUE"""),1781.7299999999998)</f>
        <v>1781.73</v>
      </c>
      <c r="H46" s="17">
        <f>IFERROR(__xludf.DUMMYFUNCTION("""COMPUTED_VALUE"""),5345.19)</f>
        <v>5345.19</v>
      </c>
    </row>
    <row r="47">
      <c r="A47" s="18" t="str">
        <f>IFERROR(__xludf.DUMMYFUNCTION("""COMPUTED_VALUE"""),"FIRST HELP FINANCIAL")</f>
        <v>FIRST HELP FINANCIAL</v>
      </c>
      <c r="B47" s="16">
        <f>IFERROR(__xludf.DUMMYFUNCTION("""COMPUTED_VALUE"""),3.0)</f>
        <v>3</v>
      </c>
      <c r="C47" s="17">
        <f>IFERROR(__xludf.DUMMYFUNCTION("""COMPUTED_VALUE"""),409.21000000000004)</f>
        <v>409.21</v>
      </c>
      <c r="D47" s="17">
        <f>IFERROR(__xludf.DUMMYFUNCTION("""COMPUTED_VALUE"""),2249.3500000000004)</f>
        <v>2249.35</v>
      </c>
      <c r="E47" s="17">
        <f>IFERROR(__xludf.DUMMYFUNCTION("""COMPUTED_VALUE"""),4309.25)</f>
        <v>4309.25</v>
      </c>
      <c r="F47" s="17">
        <f>IFERROR(__xludf.DUMMYFUNCTION("""COMPUTED_VALUE"""),11872.0)</f>
        <v>11872</v>
      </c>
      <c r="G47" s="17">
        <f>IFERROR(__xludf.DUMMYFUNCTION("""COMPUTED_VALUE"""),4718.46)</f>
        <v>4718.46</v>
      </c>
      <c r="H47" s="17">
        <f>IFERROR(__xludf.DUMMYFUNCTION("""COMPUTED_VALUE"""),14121.35)</f>
        <v>14121.35</v>
      </c>
    </row>
    <row r="48">
      <c r="A48" s="18" t="str">
        <f>IFERROR(__xludf.DUMMYFUNCTION("""COMPUTED_VALUE"""),"CITY BANK")</f>
        <v>CITY BANK</v>
      </c>
      <c r="B48" s="16">
        <f>IFERROR(__xludf.DUMMYFUNCTION("""COMPUTED_VALUE"""),3.0)</f>
        <v>3</v>
      </c>
      <c r="C48" s="17">
        <f>IFERROR(__xludf.DUMMYFUNCTION("""COMPUTED_VALUE"""),1500.33)</f>
        <v>1500.33</v>
      </c>
      <c r="D48" s="17">
        <f>IFERROR(__xludf.DUMMYFUNCTION("""COMPUTED_VALUE"""),4501.0)</f>
        <v>4501</v>
      </c>
      <c r="E48" s="17">
        <f>IFERROR(__xludf.DUMMYFUNCTION("""COMPUTED_VALUE"""),2596.55)</f>
        <v>2596.55</v>
      </c>
      <c r="F48" s="17">
        <f>IFERROR(__xludf.DUMMYFUNCTION("""COMPUTED_VALUE"""),7789.65)</f>
        <v>7789.65</v>
      </c>
      <c r="G48" s="17">
        <f>IFERROR(__xludf.DUMMYFUNCTION("""COMPUTED_VALUE"""),4096.88)</f>
        <v>4096.88</v>
      </c>
      <c r="H48" s="17">
        <f>IFERROR(__xludf.DUMMYFUNCTION("""COMPUTED_VALUE"""),12290.65)</f>
        <v>12290.65</v>
      </c>
    </row>
    <row r="49">
      <c r="A49" s="18" t="str">
        <f>IFERROR(__xludf.DUMMYFUNCTION("""COMPUTED_VALUE"""),"CINCH AUTO FINANCE")</f>
        <v>CINCH AUTO FINANCE</v>
      </c>
      <c r="B49" s="16">
        <f>IFERROR(__xludf.DUMMYFUNCTION("""COMPUTED_VALUE"""),3.0)</f>
        <v>3</v>
      </c>
      <c r="C49" s="17">
        <f>IFERROR(__xludf.DUMMYFUNCTION("""COMPUTED_VALUE"""),-1894.5149999999999)</f>
        <v>-1894.515</v>
      </c>
      <c r="D49" s="17">
        <f>IFERROR(__xludf.DUMMYFUNCTION("""COMPUTED_VALUE"""),-9013.439999999999)</f>
        <v>-9013.44</v>
      </c>
      <c r="E49" s="17">
        <f>IFERROR(__xludf.DUMMYFUNCTION("""COMPUTED_VALUE"""),2645.765)</f>
        <v>2645.765</v>
      </c>
      <c r="F49" s="17">
        <f>IFERROR(__xludf.DUMMYFUNCTION("""COMPUTED_VALUE"""),9757.31)</f>
        <v>9757.31</v>
      </c>
      <c r="G49" s="17">
        <f>IFERROR(__xludf.DUMMYFUNCTION("""COMPUTED_VALUE"""),751.25)</f>
        <v>751.25</v>
      </c>
      <c r="H49" s="17">
        <f>IFERROR(__xludf.DUMMYFUNCTION("""COMPUTED_VALUE"""),743.8700000000001)</f>
        <v>743.87</v>
      </c>
    </row>
    <row r="50">
      <c r="A50" s="18" t="str">
        <f>IFERROR(__xludf.DUMMYFUNCTION("""COMPUTED_VALUE"""),"CAL-COM FCU")</f>
        <v>CAL-COM FCU</v>
      </c>
      <c r="B50" s="16">
        <f>IFERROR(__xludf.DUMMYFUNCTION("""COMPUTED_VALUE"""),3.0)</f>
        <v>3</v>
      </c>
      <c r="C50" s="17">
        <f>IFERROR(__xludf.DUMMYFUNCTION("""COMPUTED_VALUE"""),1514.05)</f>
        <v>1514.05</v>
      </c>
      <c r="D50" s="17">
        <f>IFERROR(__xludf.DUMMYFUNCTION("""COMPUTED_VALUE"""),4542.15)</f>
        <v>4542.15</v>
      </c>
      <c r="E50" s="17">
        <f>IFERROR(__xludf.DUMMYFUNCTION("""COMPUTED_VALUE"""),3964.14)</f>
        <v>3964.14</v>
      </c>
      <c r="F50" s="17">
        <f>IFERROR(__xludf.DUMMYFUNCTION("""COMPUTED_VALUE"""),11892.43)</f>
        <v>11892.43</v>
      </c>
      <c r="G50" s="17">
        <f>IFERROR(__xludf.DUMMYFUNCTION("""COMPUTED_VALUE"""),5478.19)</f>
        <v>5478.19</v>
      </c>
      <c r="H50" s="17">
        <f>IFERROR(__xludf.DUMMYFUNCTION("""COMPUTED_VALUE"""),16434.58)</f>
        <v>16434.58</v>
      </c>
    </row>
    <row r="51">
      <c r="A51" s="18" t="str">
        <f>IFERROR(__xludf.DUMMYFUNCTION("""COMPUTED_VALUE"""),"BANK OF AMERICA")</f>
        <v>BANK OF AMERICA</v>
      </c>
      <c r="B51" s="16">
        <f>IFERROR(__xludf.DUMMYFUNCTION("""COMPUTED_VALUE"""),3.0)</f>
        <v>3</v>
      </c>
      <c r="C51" s="17">
        <f>IFERROR(__xludf.DUMMYFUNCTION("""COMPUTED_VALUE"""),768.935)</f>
        <v>768.935</v>
      </c>
      <c r="D51" s="17">
        <f>IFERROR(__xludf.DUMMYFUNCTION("""COMPUTED_VALUE"""),3460.85)</f>
        <v>3460.85</v>
      </c>
      <c r="E51" s="17">
        <f>IFERROR(__xludf.DUMMYFUNCTION("""COMPUTED_VALUE"""),4651.12)</f>
        <v>4651.12</v>
      </c>
      <c r="F51" s="17">
        <f>IFERROR(__xludf.DUMMYFUNCTION("""COMPUTED_VALUE"""),18104.62)</f>
        <v>18104.62</v>
      </c>
      <c r="G51" s="17">
        <f>IFERROR(__xludf.DUMMYFUNCTION("""COMPUTED_VALUE"""),5420.055)</f>
        <v>5420.055</v>
      </c>
      <c r="H51" s="17">
        <f>IFERROR(__xludf.DUMMYFUNCTION("""COMPUTED_VALUE"""),21565.47)</f>
        <v>21565.47</v>
      </c>
    </row>
    <row r="52">
      <c r="A52" s="18" t="str">
        <f>IFERROR(__xludf.DUMMYFUNCTION("""COMPUTED_VALUE"""),"AUSTIN BANK TEXAS ")</f>
        <v>AUSTIN BANK TEXAS </v>
      </c>
      <c r="B52" s="16">
        <f>IFERROR(__xludf.DUMMYFUNCTION("""COMPUTED_VALUE"""),3.0)</f>
        <v>3</v>
      </c>
      <c r="C52" s="17">
        <f>IFERROR(__xludf.DUMMYFUNCTION("""COMPUTED_VALUE"""),754.9399999999999)</f>
        <v>754.94</v>
      </c>
      <c r="D52" s="17">
        <f>IFERROR(__xludf.DUMMYFUNCTION("""COMPUTED_VALUE"""),2840.9)</f>
        <v>2840.9</v>
      </c>
      <c r="E52" s="17">
        <f>IFERROR(__xludf.DUMMYFUNCTION("""COMPUTED_VALUE"""),1687.105)</f>
        <v>1687.105</v>
      </c>
      <c r="F52" s="17">
        <f>IFERROR(__xludf.DUMMYFUNCTION("""COMPUTED_VALUE"""),5613.42)</f>
        <v>5613.42</v>
      </c>
      <c r="G52" s="17">
        <f>IFERROR(__xludf.DUMMYFUNCTION("""COMPUTED_VALUE"""),2442.045)</f>
        <v>2442.045</v>
      </c>
      <c r="H52" s="17">
        <f>IFERROR(__xludf.DUMMYFUNCTION("""COMPUTED_VALUE"""),8454.32)</f>
        <v>8454.32</v>
      </c>
    </row>
    <row r="53">
      <c r="A53" s="18" t="str">
        <f>IFERROR(__xludf.DUMMYFUNCTION("""COMPUTED_VALUE"""),"US EMPLOYEES OC FCU")</f>
        <v>US EMPLOYEES OC FCU</v>
      </c>
      <c r="B53" s="16">
        <f>IFERROR(__xludf.DUMMYFUNCTION("""COMPUTED_VALUE"""),2.0)</f>
        <v>2</v>
      </c>
      <c r="C53" s="17">
        <f>IFERROR(__xludf.DUMMYFUNCTION("""COMPUTED_VALUE"""),1735.25)</f>
        <v>1735.25</v>
      </c>
      <c r="D53" s="17">
        <f>IFERROR(__xludf.DUMMYFUNCTION("""COMPUTED_VALUE"""),3470.5)</f>
        <v>3470.5</v>
      </c>
      <c r="E53" s="17">
        <f>IFERROR(__xludf.DUMMYFUNCTION("""COMPUTED_VALUE"""),2770.21)</f>
        <v>2770.21</v>
      </c>
      <c r="F53" s="17">
        <f>IFERROR(__xludf.DUMMYFUNCTION("""COMPUTED_VALUE"""),5540.42)</f>
        <v>5540.42</v>
      </c>
      <c r="G53" s="17">
        <f>IFERROR(__xludf.DUMMYFUNCTION("""COMPUTED_VALUE"""),4505.46)</f>
        <v>4505.46</v>
      </c>
      <c r="H53" s="17">
        <f>IFERROR(__xludf.DUMMYFUNCTION("""COMPUTED_VALUE"""),9010.92)</f>
        <v>9010.92</v>
      </c>
    </row>
    <row r="54">
      <c r="A54" s="18" t="str">
        <f>IFERROR(__xludf.DUMMYFUNCTION("""COMPUTED_VALUE"""),"UNITED FCU")</f>
        <v>UNITED FCU</v>
      </c>
      <c r="B54" s="16">
        <f>IFERROR(__xludf.DUMMYFUNCTION("""COMPUTED_VALUE"""),2.0)</f>
        <v>2</v>
      </c>
      <c r="C54" s="17">
        <f>IFERROR(__xludf.DUMMYFUNCTION("""COMPUTED_VALUE"""),3107.8)</f>
        <v>3107.8</v>
      </c>
      <c r="D54" s="17">
        <f>IFERROR(__xludf.DUMMYFUNCTION("""COMPUTED_VALUE"""),6215.59)</f>
        <v>6215.59</v>
      </c>
      <c r="E54" s="17">
        <f>IFERROR(__xludf.DUMMYFUNCTION("""COMPUTED_VALUE"""),2567.06)</f>
        <v>2567.06</v>
      </c>
      <c r="F54" s="17">
        <f>IFERROR(__xludf.DUMMYFUNCTION("""COMPUTED_VALUE"""),5134.11)</f>
        <v>5134.11</v>
      </c>
      <c r="G54" s="17">
        <f>IFERROR(__xludf.DUMMYFUNCTION("""COMPUTED_VALUE"""),5674.85)</f>
        <v>5674.85</v>
      </c>
      <c r="H54" s="17">
        <f>IFERROR(__xludf.DUMMYFUNCTION("""COMPUTED_VALUE"""),11349.7)</f>
        <v>11349.7</v>
      </c>
    </row>
    <row r="55">
      <c r="A55" s="18" t="str">
        <f>IFERROR(__xludf.DUMMYFUNCTION("""COMPUTED_VALUE"""),"TULSA TEACHERS FCU")</f>
        <v>TULSA TEACHERS FCU</v>
      </c>
      <c r="B55" s="16">
        <f>IFERROR(__xludf.DUMMYFUNCTION("""COMPUTED_VALUE"""),2.0)</f>
        <v>2</v>
      </c>
      <c r="C55" s="17">
        <f>IFERROR(__xludf.DUMMYFUNCTION("""COMPUTED_VALUE"""),-1107.97)</f>
        <v>-1107.97</v>
      </c>
      <c r="D55" s="17">
        <f>IFERROR(__xludf.DUMMYFUNCTION("""COMPUTED_VALUE"""),-2215.93)</f>
        <v>-2215.93</v>
      </c>
      <c r="E55" s="17">
        <f>IFERROR(__xludf.DUMMYFUNCTION("""COMPUTED_VALUE"""),1567.8)</f>
        <v>1567.8</v>
      </c>
      <c r="F55" s="17">
        <f>IFERROR(__xludf.DUMMYFUNCTION("""COMPUTED_VALUE"""),3135.6)</f>
        <v>3135.6</v>
      </c>
      <c r="G55" s="17">
        <f>IFERROR(__xludf.DUMMYFUNCTION("""COMPUTED_VALUE"""),459.84)</f>
        <v>459.84</v>
      </c>
      <c r="H55" s="17">
        <f>IFERROR(__xludf.DUMMYFUNCTION("""COMPUTED_VALUE"""),919.67)</f>
        <v>919.67</v>
      </c>
    </row>
    <row r="56">
      <c r="A56" s="18" t="str">
        <f>IFERROR(__xludf.DUMMYFUNCTION("""COMPUTED_VALUE"""),"TEXOMA COMMUNITY CU")</f>
        <v>TEXOMA COMMUNITY CU</v>
      </c>
      <c r="B56" s="16">
        <f>IFERROR(__xludf.DUMMYFUNCTION("""COMPUTED_VALUE"""),2.0)</f>
        <v>2</v>
      </c>
      <c r="C56" s="17">
        <f>IFERROR(__xludf.DUMMYFUNCTION("""COMPUTED_VALUE"""),1363.0)</f>
        <v>1363</v>
      </c>
      <c r="D56" s="17">
        <f>IFERROR(__xludf.DUMMYFUNCTION("""COMPUTED_VALUE"""),2726.0)</f>
        <v>2726</v>
      </c>
      <c r="E56" s="17">
        <f>IFERROR(__xludf.DUMMYFUNCTION("""COMPUTED_VALUE"""),2217.38)</f>
        <v>2217.38</v>
      </c>
      <c r="F56" s="17">
        <f>IFERROR(__xludf.DUMMYFUNCTION("""COMPUTED_VALUE"""),4434.75)</f>
        <v>4434.75</v>
      </c>
      <c r="G56" s="17">
        <f>IFERROR(__xludf.DUMMYFUNCTION("""COMPUTED_VALUE"""),3580.38)</f>
        <v>3580.38</v>
      </c>
      <c r="H56" s="17">
        <f>IFERROR(__xludf.DUMMYFUNCTION("""COMPUTED_VALUE"""),7160.75)</f>
        <v>7160.75</v>
      </c>
    </row>
    <row r="57">
      <c r="A57" s="18" t="str">
        <f>IFERROR(__xludf.DUMMYFUNCTION("""COMPUTED_VALUE"""),"TEXAS DOW EMPLOYEES CU")</f>
        <v>TEXAS DOW EMPLOYEES CU</v>
      </c>
      <c r="B57" s="16">
        <f>IFERROR(__xludf.DUMMYFUNCTION("""COMPUTED_VALUE"""),2.0)</f>
        <v>2</v>
      </c>
      <c r="C57" s="17">
        <f>IFERROR(__xludf.DUMMYFUNCTION("""COMPUTED_VALUE"""),-87.68)</f>
        <v>-87.68</v>
      </c>
      <c r="D57" s="17">
        <f>IFERROR(__xludf.DUMMYFUNCTION("""COMPUTED_VALUE"""),-175.36)</f>
        <v>-175.36</v>
      </c>
      <c r="E57" s="17">
        <f>IFERROR(__xludf.DUMMYFUNCTION("""COMPUTED_VALUE"""),4661.11)</f>
        <v>4661.11</v>
      </c>
      <c r="F57" s="17">
        <f>IFERROR(__xludf.DUMMYFUNCTION("""COMPUTED_VALUE"""),9322.22)</f>
        <v>9322.22</v>
      </c>
      <c r="G57" s="17">
        <f>IFERROR(__xludf.DUMMYFUNCTION("""COMPUTED_VALUE"""),4573.43)</f>
        <v>4573.43</v>
      </c>
      <c r="H57" s="17">
        <f>IFERROR(__xludf.DUMMYFUNCTION("""COMPUTED_VALUE"""),9146.86)</f>
        <v>9146.86</v>
      </c>
    </row>
    <row r="58">
      <c r="A58" s="18" t="str">
        <f>IFERROR(__xludf.DUMMYFUNCTION("""COMPUTED_VALUE"""),"SAFCO")</f>
        <v>SAFCO</v>
      </c>
      <c r="B58" s="16">
        <f>IFERROR(__xludf.DUMMYFUNCTION("""COMPUTED_VALUE"""),2.0)</f>
        <v>2</v>
      </c>
      <c r="C58" s="17">
        <f>IFERROR(__xludf.DUMMYFUNCTION("""COMPUTED_VALUE"""),-1787.62)</f>
        <v>-1787.62</v>
      </c>
      <c r="D58" s="17">
        <f>IFERROR(__xludf.DUMMYFUNCTION("""COMPUTED_VALUE"""),-3575.23)</f>
        <v>-3575.23</v>
      </c>
      <c r="E58" s="17">
        <f>IFERROR(__xludf.DUMMYFUNCTION("""COMPUTED_VALUE"""),2709.0)</f>
        <v>2709</v>
      </c>
      <c r="F58" s="17">
        <f>IFERROR(__xludf.DUMMYFUNCTION("""COMPUTED_VALUE"""),5418.0)</f>
        <v>5418</v>
      </c>
      <c r="G58" s="17">
        <f>IFERROR(__xludf.DUMMYFUNCTION("""COMPUTED_VALUE"""),921.39)</f>
        <v>921.39</v>
      </c>
      <c r="H58" s="17">
        <f>IFERROR(__xludf.DUMMYFUNCTION("""COMPUTED_VALUE"""),1842.77)</f>
        <v>1842.77</v>
      </c>
    </row>
    <row r="59">
      <c r="A59" s="18" t="str">
        <f>IFERROR(__xludf.DUMMYFUNCTION("""COMPUTED_VALUE"""),"MEMBERS CHOICE OF CENTRAL TX FCU")</f>
        <v>MEMBERS CHOICE OF CENTRAL TX FCU</v>
      </c>
      <c r="B59" s="16">
        <f>IFERROR(__xludf.DUMMYFUNCTION("""COMPUTED_VALUE"""),2.0)</f>
        <v>2</v>
      </c>
      <c r="C59" s="17">
        <f>IFERROR(__xludf.DUMMYFUNCTION("""COMPUTED_VALUE"""),380.47)</f>
        <v>380.47</v>
      </c>
      <c r="D59" s="17">
        <f>IFERROR(__xludf.DUMMYFUNCTION("""COMPUTED_VALUE"""),760.94)</f>
        <v>760.94</v>
      </c>
      <c r="E59" s="17">
        <f>IFERROR(__xludf.DUMMYFUNCTION("""COMPUTED_VALUE"""),3948.04)</f>
        <v>3948.04</v>
      </c>
      <c r="F59" s="17">
        <f>IFERROR(__xludf.DUMMYFUNCTION("""COMPUTED_VALUE"""),7896.08)</f>
        <v>7896.08</v>
      </c>
      <c r="G59" s="17">
        <f>IFERROR(__xludf.DUMMYFUNCTION("""COMPUTED_VALUE"""),4328.51)</f>
        <v>4328.51</v>
      </c>
      <c r="H59" s="17">
        <f>IFERROR(__xludf.DUMMYFUNCTION("""COMPUTED_VALUE"""),8657.02)</f>
        <v>8657.02</v>
      </c>
    </row>
    <row r="60">
      <c r="A60" s="18" t="str">
        <f>IFERROR(__xludf.DUMMYFUNCTION("""COMPUTED_VALUE"""),"ARIVO ACCEPTANCE")</f>
        <v>ARIVO ACCEPTANCE</v>
      </c>
      <c r="B60" s="16">
        <f>IFERROR(__xludf.DUMMYFUNCTION("""COMPUTED_VALUE"""),2.0)</f>
        <v>2</v>
      </c>
      <c r="C60" s="17">
        <f>IFERROR(__xludf.DUMMYFUNCTION("""COMPUTED_VALUE"""),1924.39)</f>
        <v>1924.39</v>
      </c>
      <c r="D60" s="17">
        <f>IFERROR(__xludf.DUMMYFUNCTION("""COMPUTED_VALUE"""),3848.78)</f>
        <v>3848.78</v>
      </c>
      <c r="E60" s="17">
        <f>IFERROR(__xludf.DUMMYFUNCTION("""COMPUTED_VALUE"""),585.5)</f>
        <v>585.5</v>
      </c>
      <c r="F60" s="17">
        <f>IFERROR(__xludf.DUMMYFUNCTION("""COMPUTED_VALUE"""),1171.0)</f>
        <v>1171</v>
      </c>
      <c r="G60" s="17">
        <f>IFERROR(__xludf.DUMMYFUNCTION("""COMPUTED_VALUE"""),2509.89)</f>
        <v>2509.89</v>
      </c>
      <c r="H60" s="17">
        <f>IFERROR(__xludf.DUMMYFUNCTION("""COMPUTED_VALUE"""),5019.78)</f>
        <v>5019.78</v>
      </c>
    </row>
    <row r="61">
      <c r="A61" s="18" t="str">
        <f>IFERROR(__xludf.DUMMYFUNCTION("""COMPUTED_VALUE"""),"ADVANCIAL FCU")</f>
        <v>ADVANCIAL FCU</v>
      </c>
      <c r="B61" s="16">
        <f>IFERROR(__xludf.DUMMYFUNCTION("""COMPUTED_VALUE"""),2.0)</f>
        <v>2</v>
      </c>
      <c r="C61" s="17">
        <f>IFERROR(__xludf.DUMMYFUNCTION("""COMPUTED_VALUE"""),1399.97)</f>
        <v>1399.97</v>
      </c>
      <c r="D61" s="17">
        <f>IFERROR(__xludf.DUMMYFUNCTION("""COMPUTED_VALUE"""),2799.93)</f>
        <v>2799.93</v>
      </c>
      <c r="E61" s="17">
        <f>IFERROR(__xludf.DUMMYFUNCTION("""COMPUTED_VALUE"""),858.07)</f>
        <v>858.07</v>
      </c>
      <c r="F61" s="17">
        <f>IFERROR(__xludf.DUMMYFUNCTION("""COMPUTED_VALUE"""),1716.13)</f>
        <v>1716.13</v>
      </c>
      <c r="G61" s="17">
        <f>IFERROR(__xludf.DUMMYFUNCTION("""COMPUTED_VALUE"""),2258.03)</f>
        <v>2258.03</v>
      </c>
      <c r="H61" s="17">
        <f>IFERROR(__xludf.DUMMYFUNCTION("""COMPUTED_VALUE"""),4516.06)</f>
        <v>4516.06</v>
      </c>
    </row>
    <row r="62">
      <c r="A62" s="18" t="str">
        <f>IFERROR(__xludf.DUMMYFUNCTION("""COMPUTED_VALUE"""),"WHITE EAGLE CU")</f>
        <v>WHITE EAGLE CU</v>
      </c>
      <c r="B62" s="16">
        <f>IFERROR(__xludf.DUMMYFUNCTION("""COMPUTED_VALUE"""),1.0)</f>
        <v>1</v>
      </c>
      <c r="C62" s="17">
        <f>IFERROR(__xludf.DUMMYFUNCTION("""COMPUTED_VALUE"""),185.93)</f>
        <v>185.93</v>
      </c>
      <c r="D62" s="17">
        <f>IFERROR(__xludf.DUMMYFUNCTION("""COMPUTED_VALUE"""),185.93)</f>
        <v>185.93</v>
      </c>
      <c r="E62" s="17">
        <f>IFERROR(__xludf.DUMMYFUNCTION("""COMPUTED_VALUE"""),676.03)</f>
        <v>676.03</v>
      </c>
      <c r="F62" s="17">
        <f>IFERROR(__xludf.DUMMYFUNCTION("""COMPUTED_VALUE"""),676.03)</f>
        <v>676.03</v>
      </c>
      <c r="G62" s="17">
        <f>IFERROR(__xludf.DUMMYFUNCTION("""COMPUTED_VALUE"""),861.96)</f>
        <v>861.96</v>
      </c>
      <c r="H62" s="17">
        <f>IFERROR(__xludf.DUMMYFUNCTION("""COMPUTED_VALUE"""),861.96)</f>
        <v>861.96</v>
      </c>
    </row>
    <row r="63">
      <c r="A63" s="18" t="str">
        <f>IFERROR(__xludf.DUMMYFUNCTION("""COMPUTED_VALUE"""),"TEXAS BANK AND TRUST COMPANY")</f>
        <v>TEXAS BANK AND TRUST COMPANY</v>
      </c>
      <c r="B63" s="16">
        <f>IFERROR(__xludf.DUMMYFUNCTION("""COMPUTED_VALUE"""),1.0)</f>
        <v>1</v>
      </c>
      <c r="C63" s="17">
        <f>IFERROR(__xludf.DUMMYFUNCTION("""COMPUTED_VALUE"""),1278.05)</f>
        <v>1278.05</v>
      </c>
      <c r="D63" s="17">
        <f>IFERROR(__xludf.DUMMYFUNCTION("""COMPUTED_VALUE"""),1278.05)</f>
        <v>1278.05</v>
      </c>
      <c r="E63" s="17">
        <f>IFERROR(__xludf.DUMMYFUNCTION("""COMPUTED_VALUE"""),-75.0)</f>
        <v>-75</v>
      </c>
      <c r="F63" s="17">
        <f>IFERROR(__xludf.DUMMYFUNCTION("""COMPUTED_VALUE"""),-75.0)</f>
        <v>-75</v>
      </c>
      <c r="G63" s="17">
        <f>IFERROR(__xludf.DUMMYFUNCTION("""COMPUTED_VALUE"""),1203.05)</f>
        <v>1203.05</v>
      </c>
      <c r="H63" s="17">
        <f>IFERROR(__xludf.DUMMYFUNCTION("""COMPUTED_VALUE"""),1203.05)</f>
        <v>1203.05</v>
      </c>
    </row>
    <row r="64">
      <c r="A64" s="18" t="str">
        <f>IFERROR(__xludf.DUMMYFUNCTION("""COMPUTED_VALUE"""),"RANDOLPH-BROOKS FCU")</f>
        <v>RANDOLPH-BROOKS FCU</v>
      </c>
      <c r="B64" s="16">
        <f>IFERROR(__xludf.DUMMYFUNCTION("""COMPUTED_VALUE"""),1.0)</f>
        <v>1</v>
      </c>
      <c r="C64" s="17">
        <f>IFERROR(__xludf.DUMMYFUNCTION("""COMPUTED_VALUE"""),3278.1)</f>
        <v>3278.1</v>
      </c>
      <c r="D64" s="17">
        <f>IFERROR(__xludf.DUMMYFUNCTION("""COMPUTED_VALUE"""),3278.1)</f>
        <v>3278.1</v>
      </c>
      <c r="E64" s="17">
        <f>IFERROR(__xludf.DUMMYFUNCTION("""COMPUTED_VALUE"""),4298.0)</f>
        <v>4298</v>
      </c>
      <c r="F64" s="17">
        <f>IFERROR(__xludf.DUMMYFUNCTION("""COMPUTED_VALUE"""),4298.0)</f>
        <v>4298</v>
      </c>
      <c r="G64" s="17">
        <f>IFERROR(__xludf.DUMMYFUNCTION("""COMPUTED_VALUE"""),7576.1)</f>
        <v>7576.1</v>
      </c>
      <c r="H64" s="17">
        <f>IFERROR(__xludf.DUMMYFUNCTION("""COMPUTED_VALUE"""),7576.1)</f>
        <v>7576.1</v>
      </c>
    </row>
    <row r="65">
      <c r="A65" s="18" t="str">
        <f>IFERROR(__xludf.DUMMYFUNCTION("""COMPUTED_VALUE"""),"GREAT PLAINS FCU")</f>
        <v>GREAT PLAINS FCU</v>
      </c>
      <c r="B65" s="16">
        <f>IFERROR(__xludf.DUMMYFUNCTION("""COMPUTED_VALUE"""),1.0)</f>
        <v>1</v>
      </c>
      <c r="C65" s="17">
        <f>IFERROR(__xludf.DUMMYFUNCTION("""COMPUTED_VALUE"""),1244.15)</f>
        <v>1244.15</v>
      </c>
      <c r="D65" s="17">
        <f>IFERROR(__xludf.DUMMYFUNCTION("""COMPUTED_VALUE"""),1244.15)</f>
        <v>1244.15</v>
      </c>
      <c r="E65" s="17">
        <f>IFERROR(__xludf.DUMMYFUNCTION("""COMPUTED_VALUE"""),2651.53)</f>
        <v>2651.53</v>
      </c>
      <c r="F65" s="17">
        <f>IFERROR(__xludf.DUMMYFUNCTION("""COMPUTED_VALUE"""),2651.53)</f>
        <v>2651.53</v>
      </c>
      <c r="G65" s="17">
        <f>IFERROR(__xludf.DUMMYFUNCTION("""COMPUTED_VALUE"""),3895.68)</f>
        <v>3895.68</v>
      </c>
      <c r="H65" s="17">
        <f>IFERROR(__xludf.DUMMYFUNCTION("""COMPUTED_VALUE"""),3895.68)</f>
        <v>3895.68</v>
      </c>
    </row>
    <row r="66">
      <c r="A66" s="18" t="str">
        <f>IFERROR(__xludf.DUMMYFUNCTION("""COMPUTED_VALUE"""),"FIRST CENTRAL CU")</f>
        <v>FIRST CENTRAL CU</v>
      </c>
      <c r="B66" s="16">
        <f>IFERROR(__xludf.DUMMYFUNCTION("""COMPUTED_VALUE"""),1.0)</f>
        <v>1</v>
      </c>
      <c r="C66" s="17">
        <f>IFERROR(__xludf.DUMMYFUNCTION("""COMPUTED_VALUE"""),510.04)</f>
        <v>510.04</v>
      </c>
      <c r="D66" s="17">
        <f>IFERROR(__xludf.DUMMYFUNCTION("""COMPUTED_VALUE"""),510.04)</f>
        <v>510.04</v>
      </c>
      <c r="E66" s="17">
        <f>IFERROR(__xludf.DUMMYFUNCTION("""COMPUTED_VALUE"""),339.5)</f>
        <v>339.5</v>
      </c>
      <c r="F66" s="17">
        <f>IFERROR(__xludf.DUMMYFUNCTION("""COMPUTED_VALUE"""),339.5)</f>
        <v>339.5</v>
      </c>
      <c r="G66" s="17">
        <f>IFERROR(__xludf.DUMMYFUNCTION("""COMPUTED_VALUE"""),849.54)</f>
        <v>849.54</v>
      </c>
      <c r="H66" s="17">
        <f>IFERROR(__xludf.DUMMYFUNCTION("""COMPUTED_VALUE"""),849.54)</f>
        <v>849.54</v>
      </c>
    </row>
    <row r="67">
      <c r="A67" s="18" t="str">
        <f>IFERROR(__xludf.DUMMYFUNCTION("""COMPUTED_VALUE"""),"FINANCE POINT")</f>
        <v>FINANCE POINT</v>
      </c>
      <c r="B67" s="16">
        <f>IFERROR(__xludf.DUMMYFUNCTION("""COMPUTED_VALUE"""),1.0)</f>
        <v>1</v>
      </c>
      <c r="C67" s="17">
        <f>IFERROR(__xludf.DUMMYFUNCTION("""COMPUTED_VALUE"""),-35.0)</f>
        <v>-35</v>
      </c>
      <c r="D67" s="17">
        <f>IFERROR(__xludf.DUMMYFUNCTION("""COMPUTED_VALUE"""),-35.0)</f>
        <v>-35</v>
      </c>
      <c r="E67" s="17">
        <f>IFERROR(__xludf.DUMMYFUNCTION("""COMPUTED_VALUE"""),1909.0)</f>
        <v>1909</v>
      </c>
      <c r="F67" s="17">
        <f>IFERROR(__xludf.DUMMYFUNCTION("""COMPUTED_VALUE"""),1909.0)</f>
        <v>1909</v>
      </c>
      <c r="G67" s="17">
        <f>IFERROR(__xludf.DUMMYFUNCTION("""COMPUTED_VALUE"""),1874.0)</f>
        <v>1874</v>
      </c>
      <c r="H67" s="17">
        <f>IFERROR(__xludf.DUMMYFUNCTION("""COMPUTED_VALUE"""),1874.0)</f>
        <v>1874</v>
      </c>
    </row>
    <row r="68">
      <c r="A68" s="18" t="str">
        <f>IFERROR(__xludf.DUMMYFUNCTION("""COMPUTED_VALUE"""),"EXTRACO BANKS, N.A.")</f>
        <v>EXTRACO BANKS, N.A.</v>
      </c>
      <c r="B68" s="16">
        <f>IFERROR(__xludf.DUMMYFUNCTION("""COMPUTED_VALUE"""),1.0)</f>
        <v>1</v>
      </c>
      <c r="C68" s="17">
        <f>IFERROR(__xludf.DUMMYFUNCTION("""COMPUTED_VALUE"""),597.25)</f>
        <v>597.25</v>
      </c>
      <c r="D68" s="17">
        <f>IFERROR(__xludf.DUMMYFUNCTION("""COMPUTED_VALUE"""),597.25)</f>
        <v>597.25</v>
      </c>
      <c r="E68" s="17">
        <f>IFERROR(__xludf.DUMMYFUNCTION("""COMPUTED_VALUE"""),1939.5)</f>
        <v>1939.5</v>
      </c>
      <c r="F68" s="17">
        <f>IFERROR(__xludf.DUMMYFUNCTION("""COMPUTED_VALUE"""),1939.5)</f>
        <v>1939.5</v>
      </c>
      <c r="G68" s="17">
        <f>IFERROR(__xludf.DUMMYFUNCTION("""COMPUTED_VALUE"""),2536.75)</f>
        <v>2536.75</v>
      </c>
      <c r="H68" s="17">
        <f>IFERROR(__xludf.DUMMYFUNCTION("""COMPUTED_VALUE"""),2536.75)</f>
        <v>2536.75</v>
      </c>
    </row>
    <row r="69">
      <c r="A69" s="18" t="str">
        <f>IFERROR(__xludf.DUMMYFUNCTION("""COMPUTED_VALUE"""),"EAST TEXAS PROFESSIONAL CU")</f>
        <v>EAST TEXAS PROFESSIONAL CU</v>
      </c>
      <c r="B69" s="16">
        <f>IFERROR(__xludf.DUMMYFUNCTION("""COMPUTED_VALUE"""),1.0)</f>
        <v>1</v>
      </c>
      <c r="C69" s="17">
        <f>IFERROR(__xludf.DUMMYFUNCTION("""COMPUTED_VALUE"""),1454.0)</f>
        <v>1454</v>
      </c>
      <c r="D69" s="17">
        <f>IFERROR(__xludf.DUMMYFUNCTION("""COMPUTED_VALUE"""),1454.0)</f>
        <v>1454</v>
      </c>
      <c r="E69" s="17">
        <f>IFERROR(__xludf.DUMMYFUNCTION("""COMPUTED_VALUE"""),1178.0)</f>
        <v>1178</v>
      </c>
      <c r="F69" s="17">
        <f>IFERROR(__xludf.DUMMYFUNCTION("""COMPUTED_VALUE"""),1178.0)</f>
        <v>1178</v>
      </c>
      <c r="G69" s="17">
        <f>IFERROR(__xludf.DUMMYFUNCTION("""COMPUTED_VALUE"""),2632.0)</f>
        <v>2632</v>
      </c>
      <c r="H69" s="17">
        <f>IFERROR(__xludf.DUMMYFUNCTION("""COMPUTED_VALUE"""),2632.0)</f>
        <v>2632</v>
      </c>
    </row>
    <row r="70">
      <c r="A70" s="18" t="str">
        <f>IFERROR(__xludf.DUMMYFUNCTION("""COMPUTED_VALUE"""),"BOSSIER FCU")</f>
        <v>BOSSIER FCU</v>
      </c>
      <c r="B70" s="16">
        <f>IFERROR(__xludf.DUMMYFUNCTION("""COMPUTED_VALUE"""),1.0)</f>
        <v>1</v>
      </c>
      <c r="C70" s="17">
        <f>IFERROR(__xludf.DUMMYFUNCTION("""COMPUTED_VALUE"""),-110.45)</f>
        <v>-110.45</v>
      </c>
      <c r="D70" s="17">
        <f>IFERROR(__xludf.DUMMYFUNCTION("""COMPUTED_VALUE"""),-110.45)</f>
        <v>-110.45</v>
      </c>
      <c r="E70" s="17">
        <f>IFERROR(__xludf.DUMMYFUNCTION("""COMPUTED_VALUE"""),1451.0)</f>
        <v>1451</v>
      </c>
      <c r="F70" s="17">
        <f>IFERROR(__xludf.DUMMYFUNCTION("""COMPUTED_VALUE"""),1451.0)</f>
        <v>1451</v>
      </c>
      <c r="G70" s="17">
        <f>IFERROR(__xludf.DUMMYFUNCTION("""COMPUTED_VALUE"""),1340.55)</f>
        <v>1340.55</v>
      </c>
      <c r="H70" s="17">
        <f>IFERROR(__xludf.DUMMYFUNCTION("""COMPUTED_VALUE"""),1340.55)</f>
        <v>1340.55</v>
      </c>
    </row>
    <row r="71">
      <c r="A71" s="18"/>
      <c r="B71" s="19"/>
      <c r="C71" s="15"/>
      <c r="D71" s="15"/>
      <c r="E71" s="15"/>
      <c r="F71" s="15"/>
      <c r="G71" s="15"/>
      <c r="H71" s="15"/>
    </row>
    <row r="72">
      <c r="A72" s="18"/>
      <c r="B72" s="19"/>
      <c r="C72" s="15"/>
      <c r="D72" s="15"/>
      <c r="E72" s="15"/>
      <c r="F72" s="15"/>
      <c r="G72" s="15"/>
      <c r="H72" s="15"/>
    </row>
    <row r="73">
      <c r="A73" s="18"/>
      <c r="B73" s="19"/>
      <c r="C73" s="15"/>
      <c r="D73" s="15"/>
      <c r="E73" s="15"/>
      <c r="F73" s="15"/>
      <c r="G73" s="15"/>
      <c r="H73" s="15"/>
    </row>
    <row r="74">
      <c r="A74" s="18"/>
      <c r="B74" s="19"/>
      <c r="C74" s="15"/>
      <c r="D74" s="15"/>
      <c r="E74" s="15"/>
      <c r="F74" s="15"/>
      <c r="G74" s="15"/>
      <c r="H74" s="15"/>
    </row>
    <row r="75">
      <c r="A75" s="18"/>
      <c r="B75" s="19"/>
      <c r="C75" s="15"/>
      <c r="D75" s="15"/>
      <c r="E75" s="15"/>
      <c r="F75" s="15"/>
      <c r="G75" s="15"/>
      <c r="H75" s="15"/>
    </row>
    <row r="76">
      <c r="A76" s="18"/>
      <c r="B76" s="19"/>
      <c r="C76" s="15"/>
      <c r="D76" s="15"/>
      <c r="E76" s="15"/>
      <c r="F76" s="15"/>
      <c r="G76" s="15"/>
      <c r="H76" s="15"/>
    </row>
    <row r="77">
      <c r="A77" s="15"/>
      <c r="B77" s="19"/>
      <c r="C77" s="15"/>
      <c r="D77" s="15"/>
      <c r="E77" s="15"/>
      <c r="F77" s="15"/>
      <c r="G77" s="15"/>
      <c r="H77" s="15"/>
    </row>
    <row r="78">
      <c r="A78" s="15"/>
      <c r="B78" s="19"/>
      <c r="C78" s="15"/>
      <c r="D78" s="15"/>
      <c r="E78" s="15"/>
      <c r="F78" s="15"/>
      <c r="G78" s="15"/>
      <c r="H78" s="15"/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