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p 10" sheetId="1" r:id="rId4"/>
    <sheet state="visible" name="Analysis" sheetId="2" r:id="rId5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6">
    <font>
      <sz val="10.0"/>
      <color rgb="FF000000"/>
      <name val="Arial"/>
      <scheme val="minor"/>
    </font>
    <font>
      <sz val="24.0"/>
      <color theme="1"/>
      <name val="Arial"/>
      <scheme val="minor"/>
    </font>
    <font>
      <b/>
      <sz val="14.0"/>
      <color theme="1"/>
      <name val="Arial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  <fill>
      <patternFill patternType="solid">
        <fgColor rgb="FFEFEFEF"/>
        <bgColor rgb="FFEFEFEF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3" fontId="2" numFmtId="0" xfId="0" applyAlignment="1" applyBorder="1" applyFill="1" applyFont="1">
      <alignment vertical="bottom"/>
    </xf>
    <xf borderId="2" fillId="3" fontId="2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3" fillId="0" fontId="3" numFmtId="0" xfId="0" applyAlignment="1" applyBorder="1" applyFont="1">
      <alignment vertical="bottom"/>
    </xf>
    <xf borderId="4" fillId="0" fontId="3" numFmtId="1" xfId="0" applyAlignment="1" applyBorder="1" applyFont="1" applyNumberFormat="1">
      <alignment horizontal="right" vertical="bottom"/>
    </xf>
    <xf borderId="4" fillId="0" fontId="3" numFmtId="164" xfId="0" applyAlignment="1" applyBorder="1" applyFont="1" applyNumberFormat="1">
      <alignment horizontal="right" vertical="bottom"/>
    </xf>
    <xf borderId="5" fillId="0" fontId="3" numFmtId="0" xfId="0" applyAlignment="1" applyBorder="1" applyFont="1">
      <alignment vertical="bottom"/>
    </xf>
    <xf borderId="6" fillId="0" fontId="3" numFmtId="1" xfId="0" applyAlignment="1" applyBorder="1" applyFont="1" applyNumberFormat="1">
      <alignment horizontal="right" vertical="bottom"/>
    </xf>
    <xf borderId="6" fillId="0" fontId="3" numFmtId="164" xfId="0" applyAlignment="1" applyBorder="1" applyFont="1" applyNumberFormat="1">
      <alignment horizontal="right" vertical="bottom"/>
    </xf>
    <xf borderId="0" fillId="3" fontId="4" numFmtId="0" xfId="0" applyAlignment="1" applyFont="1">
      <alignment vertical="center"/>
    </xf>
    <xf borderId="0" fillId="3" fontId="4" numFmtId="0" xfId="0" applyAlignment="1" applyFont="1">
      <alignment horizontal="center" vertical="center"/>
    </xf>
    <xf borderId="0" fillId="3" fontId="4" numFmtId="165" xfId="0" applyAlignment="1" applyFont="1" applyNumberFormat="1">
      <alignment horizontal="right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5" numFmtId="1" xfId="0" applyAlignment="1" applyFont="1" applyNumberFormat="1">
      <alignment horizontal="center"/>
    </xf>
    <xf borderId="0" fillId="0" fontId="5" numFmtId="165" xfId="0" applyFont="1" applyNumberFormat="1"/>
    <xf borderId="0" fillId="4" fontId="5" numFmtId="0" xfId="0" applyFill="1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5.25"/>
    <col customWidth="1" min="2" max="2" width="13.5"/>
    <col customWidth="1" min="3" max="3" width="2.13"/>
    <col customWidth="1" min="4" max="4" width="25.13"/>
    <col customWidth="1" min="5" max="5" width="21.0"/>
    <col customWidth="1" min="6" max="6" width="2.25"/>
    <col customWidth="1" min="7" max="7" width="25.25"/>
    <col customWidth="1" min="8" max="8" width="18.88"/>
  </cols>
  <sheetData>
    <row r="1">
      <c r="A1" s="1" t="str">
        <f>IFERROR(__xludf.DUMMYFUNCTION("IMPORTRANGE(""1xyvYLqlcO65bFEvG3xtVUDffMyPLFbJoVB3xnb9sLk8"",""Top 10!A1:H12"")"),"TOP 10")</f>
        <v>TOP 10</v>
      </c>
    </row>
    <row r="2">
      <c r="A2" s="2" t="str">
        <f>IFERROR(__xludf.DUMMYFUNCTION("""COMPUTED_VALUE""")," Lenders")</f>
        <v> Lenders</v>
      </c>
      <c r="B2" s="3" t="str">
        <f>IFERROR(__xludf.DUMMYFUNCTION("""COMPUTED_VALUE""")," Total Units")</f>
        <v> Total Units</v>
      </c>
      <c r="C2" s="4"/>
      <c r="D2" s="2" t="str">
        <f>IFERROR(__xludf.DUMMYFUNCTION("""COMPUTED_VALUE""")," Lenders")</f>
        <v> Lenders</v>
      </c>
      <c r="E2" s="3" t="str">
        <f>IFERROR(__xludf.DUMMYFUNCTION("""COMPUTED_VALUE""")," Total Front Gross")</f>
        <v> Total Front Gross</v>
      </c>
      <c r="F2" s="4"/>
      <c r="G2" s="2" t="str">
        <f>IFERROR(__xludf.DUMMYFUNCTION("""COMPUTED_VALUE""")," Lenders")</f>
        <v> Lenders</v>
      </c>
      <c r="H2" s="3" t="str">
        <f>IFERROR(__xludf.DUMMYFUNCTION("""COMPUTED_VALUE""")," Total F&amp;I Gross")</f>
        <v> Total F&amp;I Gross</v>
      </c>
    </row>
    <row r="3">
      <c r="A3" s="5" t="str">
        <f>IFERROR(__xludf.DUMMYFUNCTION("""COMPUTED_VALUE"""),"CASH")</f>
        <v>CASH</v>
      </c>
      <c r="B3" s="6">
        <f>IFERROR(__xludf.DUMMYFUNCTION("""COMPUTED_VALUE"""),279.0)</f>
        <v>279</v>
      </c>
      <c r="C3" s="4"/>
      <c r="D3" s="5" t="str">
        <f>IFERROR(__xludf.DUMMYFUNCTION("""COMPUTED_VALUE"""),"CASH")</f>
        <v>CASH</v>
      </c>
      <c r="E3" s="7">
        <f>IFERROR(__xludf.DUMMYFUNCTION("""COMPUTED_VALUE"""),289439.87)</f>
        <v>289439.87</v>
      </c>
      <c r="F3" s="4"/>
      <c r="G3" s="5" t="str">
        <f>IFERROR(__xludf.DUMMYFUNCTION("""COMPUTED_VALUE"""),"NMAC")</f>
        <v>NMAC</v>
      </c>
      <c r="H3" s="7">
        <f>IFERROR(__xludf.DUMMYFUNCTION("""COMPUTED_VALUE"""),410709.16000000003)</f>
        <v>410709.16</v>
      </c>
    </row>
    <row r="4">
      <c r="A4" s="5" t="str">
        <f>IFERROR(__xludf.DUMMYFUNCTION("""COMPUTED_VALUE"""),"KIA MOTORS FINANCE")</f>
        <v>KIA MOTORS FINANCE</v>
      </c>
      <c r="B4" s="6">
        <f>IFERROR(__xludf.DUMMYFUNCTION("""COMPUTED_VALUE"""),197.0)</f>
        <v>197</v>
      </c>
      <c r="C4" s="4"/>
      <c r="D4" s="5" t="str">
        <f>IFERROR(__xludf.DUMMYFUNCTION("""COMPUTED_VALUE"""),"WELLS FARGO AUTO")</f>
        <v>WELLS FARGO AUTO</v>
      </c>
      <c r="E4" s="7">
        <f>IFERROR(__xludf.DUMMYFUNCTION("""COMPUTED_VALUE"""),92100.70999999999)</f>
        <v>92100.71</v>
      </c>
      <c r="F4" s="4"/>
      <c r="G4" s="5" t="str">
        <f>IFERROR(__xludf.DUMMYFUNCTION("""COMPUTED_VALUE"""),"KIA MOTORS FINANCE")</f>
        <v>KIA MOTORS FINANCE</v>
      </c>
      <c r="H4" s="7">
        <f>IFERROR(__xludf.DUMMYFUNCTION("""COMPUTED_VALUE"""),375411.36)</f>
        <v>375411.36</v>
      </c>
    </row>
    <row r="5">
      <c r="A5" s="5" t="str">
        <f>IFERROR(__xludf.DUMMYFUNCTION("""COMPUTED_VALUE"""),"NMAC")</f>
        <v>NMAC</v>
      </c>
      <c r="B5" s="6">
        <f>IFERROR(__xludf.DUMMYFUNCTION("""COMPUTED_VALUE"""),168.0)</f>
        <v>168</v>
      </c>
      <c r="C5" s="4"/>
      <c r="D5" s="5" t="str">
        <f>IFERROR(__xludf.DUMMYFUNCTION("""COMPUTED_VALUE"""),"CAPITAL ONE")</f>
        <v>CAPITAL ONE</v>
      </c>
      <c r="E5" s="7">
        <f>IFERROR(__xludf.DUMMYFUNCTION("""COMPUTED_VALUE"""),85365.87)</f>
        <v>85365.87</v>
      </c>
      <c r="F5" s="4"/>
      <c r="G5" s="5" t="str">
        <f>IFERROR(__xludf.DUMMYFUNCTION("""COMPUTED_VALUE"""),"CAPITAL ONE")</f>
        <v>CAPITAL ONE</v>
      </c>
      <c r="H5" s="7">
        <f>IFERROR(__xludf.DUMMYFUNCTION("""COMPUTED_VALUE"""),319666.20000000007)</f>
        <v>319666.2</v>
      </c>
    </row>
    <row r="6">
      <c r="A6" s="5" t="str">
        <f>IFERROR(__xludf.DUMMYFUNCTION("""COMPUTED_VALUE"""),"CAPITAL ONE")</f>
        <v>CAPITAL ONE</v>
      </c>
      <c r="B6" s="6">
        <f>IFERROR(__xludf.DUMMYFUNCTION("""COMPUTED_VALUE"""),136.0)</f>
        <v>136</v>
      </c>
      <c r="C6" s="4"/>
      <c r="D6" s="5" t="str">
        <f>IFERROR(__xludf.DUMMYFUNCTION("""COMPUTED_VALUE"""),"NMAC")</f>
        <v>NMAC</v>
      </c>
      <c r="E6" s="7">
        <f>IFERROR(__xludf.DUMMYFUNCTION("""COMPUTED_VALUE"""),68377.59)</f>
        <v>68377.59</v>
      </c>
      <c r="F6" s="4"/>
      <c r="G6" s="5" t="str">
        <f>IFERROR(__xludf.DUMMYFUNCTION("""COMPUTED_VALUE"""),"SANTANDER CONSUMER USA")</f>
        <v>SANTANDER CONSUMER USA</v>
      </c>
      <c r="H6" s="7">
        <f>IFERROR(__xludf.DUMMYFUNCTION("""COMPUTED_VALUE"""),314993.3)</f>
        <v>314993.3</v>
      </c>
    </row>
    <row r="7">
      <c r="A7" s="5" t="str">
        <f>IFERROR(__xludf.DUMMYFUNCTION("""COMPUTED_VALUE"""),"SANTANDER CONSUMER USA")</f>
        <v>SANTANDER CONSUMER USA</v>
      </c>
      <c r="B7" s="6">
        <f>IFERROR(__xludf.DUMMYFUNCTION("""COMPUTED_VALUE"""),130.0)</f>
        <v>130</v>
      </c>
      <c r="C7" s="4"/>
      <c r="D7" s="5" t="str">
        <f>IFERROR(__xludf.DUMMYFUNCTION("""COMPUTED_VALUE"""),"HYUNDAI MOTOR FINANCE")</f>
        <v>HYUNDAI MOTOR FINANCE</v>
      </c>
      <c r="E7" s="7">
        <f>IFERROR(__xludf.DUMMYFUNCTION("""COMPUTED_VALUE"""),58613.98)</f>
        <v>58613.98</v>
      </c>
      <c r="F7" s="4"/>
      <c r="G7" s="5" t="str">
        <f>IFERROR(__xludf.DUMMYFUNCTION("""COMPUTED_VALUE"""),"TRUIST BANK")</f>
        <v>TRUIST BANK</v>
      </c>
      <c r="H7" s="7">
        <f>IFERROR(__xludf.DUMMYFUNCTION("""COMPUTED_VALUE"""),217457.9)</f>
        <v>217457.9</v>
      </c>
    </row>
    <row r="8">
      <c r="A8" s="5" t="str">
        <f>IFERROR(__xludf.DUMMYFUNCTION("""COMPUTED_VALUE"""),"EXETER FINANCE CORPORATION")</f>
        <v>EXETER FINANCE CORPORATION</v>
      </c>
      <c r="B8" s="6">
        <f>IFERROR(__xludf.DUMMYFUNCTION("""COMPUTED_VALUE"""),75.0)</f>
        <v>75</v>
      </c>
      <c r="C8" s="4"/>
      <c r="D8" s="5" t="str">
        <f>IFERROR(__xludf.DUMMYFUNCTION("""COMPUTED_VALUE"""),"ALLY FINANCIAL")</f>
        <v>ALLY FINANCIAL</v>
      </c>
      <c r="E8" s="7">
        <f>IFERROR(__xludf.DUMMYFUNCTION("""COMPUTED_VALUE"""),53833.25)</f>
        <v>53833.25</v>
      </c>
      <c r="F8" s="4"/>
      <c r="G8" s="5" t="str">
        <f>IFERROR(__xludf.DUMMYFUNCTION("""COMPUTED_VALUE"""),"ALLY FINANCIAL")</f>
        <v>ALLY FINANCIAL</v>
      </c>
      <c r="H8" s="7">
        <f>IFERROR(__xludf.DUMMYFUNCTION("""COMPUTED_VALUE"""),190058.44)</f>
        <v>190058.44</v>
      </c>
    </row>
    <row r="9">
      <c r="A9" s="5" t="str">
        <f>IFERROR(__xludf.DUMMYFUNCTION("""COMPUTED_VALUE"""),"ALLY FINANCIAL")</f>
        <v>ALLY FINANCIAL</v>
      </c>
      <c r="B9" s="6">
        <f>IFERROR(__xludf.DUMMYFUNCTION("""COMPUTED_VALUE"""),74.0)</f>
        <v>74</v>
      </c>
      <c r="C9" s="4"/>
      <c r="D9" s="5" t="str">
        <f>IFERROR(__xludf.DUMMYFUNCTION("""COMPUTED_VALUE"""),"TD AUTO FINANCE")</f>
        <v>TD AUTO FINANCE</v>
      </c>
      <c r="E9" s="7">
        <f>IFERROR(__xludf.DUMMYFUNCTION("""COMPUTED_VALUE"""),52793.64)</f>
        <v>52793.64</v>
      </c>
      <c r="F9" s="4"/>
      <c r="G9" s="5" t="str">
        <f>IFERROR(__xludf.DUMMYFUNCTION("""COMPUTED_VALUE"""),"TD AUTO FINANCE")</f>
        <v>TD AUTO FINANCE</v>
      </c>
      <c r="H9" s="7">
        <f>IFERROR(__xludf.DUMMYFUNCTION("""COMPUTED_VALUE"""),170401.62000000002)</f>
        <v>170401.62</v>
      </c>
    </row>
    <row r="10">
      <c r="A10" s="5" t="str">
        <f>IFERROR(__xludf.DUMMYFUNCTION("""COMPUTED_VALUE"""),"TRUIST BANK")</f>
        <v>TRUIST BANK</v>
      </c>
      <c r="B10" s="6">
        <f>IFERROR(__xludf.DUMMYFUNCTION("""COMPUTED_VALUE"""),70.0)</f>
        <v>70</v>
      </c>
      <c r="C10" s="4"/>
      <c r="D10" s="5" t="str">
        <f>IFERROR(__xludf.DUMMYFUNCTION("""COMPUTED_VALUE"""),"REGIONAL ACCEPTANCE CORPORATION")</f>
        <v>REGIONAL ACCEPTANCE CORPORATION</v>
      </c>
      <c r="E10" s="7">
        <f>IFERROR(__xludf.DUMMYFUNCTION("""COMPUTED_VALUE"""),52526.1)</f>
        <v>52526.1</v>
      </c>
      <c r="F10" s="4"/>
      <c r="G10" s="5" t="str">
        <f>IFERROR(__xludf.DUMMYFUNCTION("""COMPUTED_VALUE"""),"REGIONAL ACCEPTANCE CORPORATION")</f>
        <v>REGIONAL ACCEPTANCE CORPORATION</v>
      </c>
      <c r="H10" s="7">
        <f>IFERROR(__xludf.DUMMYFUNCTION("""COMPUTED_VALUE"""),165481.97)</f>
        <v>165481.97</v>
      </c>
    </row>
    <row r="11">
      <c r="A11" s="5" t="str">
        <f>IFERROR(__xludf.DUMMYFUNCTION("""COMPUTED_VALUE"""),"REGIONAL ACCEPTANCE CORPORATION")</f>
        <v>REGIONAL ACCEPTANCE CORPORATION</v>
      </c>
      <c r="B11" s="6">
        <f>IFERROR(__xludf.DUMMYFUNCTION("""COMPUTED_VALUE"""),67.0)</f>
        <v>67</v>
      </c>
      <c r="C11" s="4"/>
      <c r="D11" s="5" t="str">
        <f>IFERROR(__xludf.DUMMYFUNCTION("""COMPUTED_VALUE"""),"KIA MOTORS FINANCE")</f>
        <v>KIA MOTORS FINANCE</v>
      </c>
      <c r="E11" s="7">
        <f>IFERROR(__xludf.DUMMYFUNCTION("""COMPUTED_VALUE"""),48324.48000000001)</f>
        <v>48324.48</v>
      </c>
      <c r="F11" s="4"/>
      <c r="G11" s="5" t="str">
        <f>IFERROR(__xludf.DUMMYFUNCTION("""COMPUTED_VALUE"""),"GLOBAL LENDING SERVICES ")</f>
        <v>GLOBAL LENDING SERVICES </v>
      </c>
      <c r="H11" s="7">
        <f>IFERROR(__xludf.DUMMYFUNCTION("""COMPUTED_VALUE"""),153909.41)</f>
        <v>153909.41</v>
      </c>
    </row>
    <row r="12">
      <c r="A12" s="8" t="str">
        <f>IFERROR(__xludf.DUMMYFUNCTION("""COMPUTED_VALUE"""),"OSF")</f>
        <v>OSF</v>
      </c>
      <c r="B12" s="9">
        <f>IFERROR(__xludf.DUMMYFUNCTION("""COMPUTED_VALUE"""),67.0)</f>
        <v>67</v>
      </c>
      <c r="C12" s="4"/>
      <c r="D12" s="8" t="str">
        <f>IFERROR(__xludf.DUMMYFUNCTION("""COMPUTED_VALUE"""),"EASTMAN CU")</f>
        <v>EASTMAN CU</v>
      </c>
      <c r="E12" s="10">
        <f>IFERROR(__xludf.DUMMYFUNCTION("""COMPUTED_VALUE"""),41825.08)</f>
        <v>41825.08</v>
      </c>
      <c r="F12" s="4"/>
      <c r="G12" s="8" t="str">
        <f>IFERROR(__xludf.DUMMYFUNCTION("""COMPUTED_VALUE"""),"AMERICAN CREDIT ACCEPTANCE")</f>
        <v>AMERICAN CREDIT ACCEPTANCE</v>
      </c>
      <c r="H12" s="10">
        <f>IFERROR(__xludf.DUMMYFUNCTION("""COMPUTED_VALUE"""),123261.41)</f>
        <v>123261.41</v>
      </c>
    </row>
  </sheetData>
  <mergeCells count="1">
    <mergeCell ref="A1:H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6.5"/>
    <col customWidth="1" min="2" max="2" width="10.0"/>
    <col customWidth="1" min="3" max="3" width="13.0"/>
    <col customWidth="1" min="4" max="8" width="11.38"/>
  </cols>
  <sheetData>
    <row r="1" ht="22.5" customHeight="1">
      <c r="A1" s="11" t="str">
        <f>IFERROR(__xludf.DUMMYFUNCTION("IMPORTRANGE(""1xyvYLqlcO65bFEvG3xtVUDffMyPLFbJoVB3xnb9sLk8"",""Analysis - PRU!A2:H100"")"),"Lenders")</f>
        <v>Lenders</v>
      </c>
      <c r="B1" s="12" t="str">
        <f>IFERROR(__xludf.DUMMYFUNCTION("""COMPUTED_VALUE"""),"Total Units")</f>
        <v>Total Units</v>
      </c>
      <c r="C1" s="13" t="str">
        <f>IFERROR(__xludf.DUMMYFUNCTION("""COMPUTED_VALUE"""),"Front PVR")</f>
        <v>Front PVR</v>
      </c>
      <c r="D1" s="13" t="str">
        <f>IFERROR(__xludf.DUMMYFUNCTION("""COMPUTED_VALUE"""),"Front Gross")</f>
        <v>Front Gross</v>
      </c>
      <c r="E1" s="13" t="str">
        <f>IFERROR(__xludf.DUMMYFUNCTION("""COMPUTED_VALUE"""),"F&amp;I PVR")</f>
        <v>F&amp;I PVR</v>
      </c>
      <c r="F1" s="13" t="str">
        <f>IFERROR(__xludf.DUMMYFUNCTION("""COMPUTED_VALUE"""),"F&amp;I Gross")</f>
        <v>F&amp;I Gross</v>
      </c>
      <c r="G1" s="13" t="str">
        <f>IFERROR(__xludf.DUMMYFUNCTION("""COMPUTED_VALUE"""),"Total PVR")</f>
        <v>Total PVR</v>
      </c>
      <c r="H1" s="13" t="str">
        <f>IFERROR(__xludf.DUMMYFUNCTION("""COMPUTED_VALUE"""),"Total Gross")</f>
        <v>Total Gross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A2" s="15" t="str">
        <f>IFERROR(__xludf.DUMMYFUNCTION("""COMPUTED_VALUE"""),"CASH")</f>
        <v>CASH</v>
      </c>
      <c r="B2" s="16">
        <f>IFERROR(__xludf.DUMMYFUNCTION("""COMPUTED_VALUE"""),279.0)</f>
        <v>279</v>
      </c>
      <c r="C2" s="17">
        <f>IFERROR(__xludf.DUMMYFUNCTION("""COMPUTED_VALUE"""),1037.42)</f>
        <v>1037.42</v>
      </c>
      <c r="D2" s="17">
        <f>IFERROR(__xludf.DUMMYFUNCTION("""COMPUTED_VALUE"""),289439.87)</f>
        <v>289439.87</v>
      </c>
      <c r="E2" s="17">
        <f>IFERROR(__xludf.DUMMYFUNCTION("""COMPUTED_VALUE"""),402.33)</f>
        <v>402.33</v>
      </c>
      <c r="F2" s="17">
        <f>IFERROR(__xludf.DUMMYFUNCTION("""COMPUTED_VALUE"""),111847.27)</f>
        <v>111847.27</v>
      </c>
      <c r="G2" s="17">
        <f>IFERROR(__xludf.DUMMYFUNCTION("""COMPUTED_VALUE"""),1443.48)</f>
        <v>1443.48</v>
      </c>
      <c r="H2" s="17">
        <f>IFERROR(__xludf.DUMMYFUNCTION("""COMPUTED_VALUE"""),401287.14)</f>
        <v>401287.14</v>
      </c>
    </row>
    <row r="3">
      <c r="A3" s="15" t="str">
        <f>IFERROR(__xludf.DUMMYFUNCTION("""COMPUTED_VALUE"""),"KIA MOTORS FINANCE")</f>
        <v>KIA MOTORS FINANCE</v>
      </c>
      <c r="B3" s="16">
        <f>IFERROR(__xludf.DUMMYFUNCTION("""COMPUTED_VALUE"""),197.0)</f>
        <v>197</v>
      </c>
      <c r="C3" s="17">
        <f>IFERROR(__xludf.DUMMYFUNCTION("""COMPUTED_VALUE"""),-322.55999999999995)</f>
        <v>-322.56</v>
      </c>
      <c r="D3" s="17">
        <f>IFERROR(__xludf.DUMMYFUNCTION("""COMPUTED_VALUE"""),48324.48000000001)</f>
        <v>48324.48</v>
      </c>
      <c r="E3" s="17">
        <f>IFERROR(__xludf.DUMMYFUNCTION("""COMPUTED_VALUE"""),1222.57)</f>
        <v>1222.57</v>
      </c>
      <c r="F3" s="17">
        <f>IFERROR(__xludf.DUMMYFUNCTION("""COMPUTED_VALUE"""),375411.36)</f>
        <v>375411.36</v>
      </c>
      <c r="G3" s="17">
        <f>IFERROR(__xludf.DUMMYFUNCTION("""COMPUTED_VALUE"""),900.0116666666667)</f>
        <v>900.0116667</v>
      </c>
      <c r="H3" s="17">
        <f>IFERROR(__xludf.DUMMYFUNCTION("""COMPUTED_VALUE"""),423735.83999999997)</f>
        <v>423735.84</v>
      </c>
    </row>
    <row r="4">
      <c r="A4" s="15" t="str">
        <f>IFERROR(__xludf.DUMMYFUNCTION("""COMPUTED_VALUE"""),"NMAC")</f>
        <v>NMAC</v>
      </c>
      <c r="B4" s="16">
        <f>IFERROR(__xludf.DUMMYFUNCTION("""COMPUTED_VALUE"""),168.0)</f>
        <v>168</v>
      </c>
      <c r="C4" s="17">
        <f>IFERROR(__xludf.DUMMYFUNCTION("""COMPUTED_VALUE"""),-39.497142857142826)</f>
        <v>-39.49714286</v>
      </c>
      <c r="D4" s="17">
        <f>IFERROR(__xludf.DUMMYFUNCTION("""COMPUTED_VALUE"""),68377.59)</f>
        <v>68377.59</v>
      </c>
      <c r="E4" s="17">
        <f>IFERROR(__xludf.DUMMYFUNCTION("""COMPUTED_VALUE"""),1959.0842857142854)</f>
        <v>1959.084286</v>
      </c>
      <c r="F4" s="17">
        <f>IFERROR(__xludf.DUMMYFUNCTION("""COMPUTED_VALUE"""),410709.16000000003)</f>
        <v>410709.16</v>
      </c>
      <c r="G4" s="17">
        <f>IFERROR(__xludf.DUMMYFUNCTION("""COMPUTED_VALUE"""),1919.5857142857146)</f>
        <v>1919.585714</v>
      </c>
      <c r="H4" s="17">
        <f>IFERROR(__xludf.DUMMYFUNCTION("""COMPUTED_VALUE"""),479086.75)</f>
        <v>479086.75</v>
      </c>
    </row>
    <row r="5">
      <c r="A5" s="18" t="str">
        <f>IFERROR(__xludf.DUMMYFUNCTION("""COMPUTED_VALUE"""),"CAPITAL ONE")</f>
        <v>CAPITAL ONE</v>
      </c>
      <c r="B5" s="16">
        <f>IFERROR(__xludf.DUMMYFUNCTION("""COMPUTED_VALUE"""),136.0)</f>
        <v>136</v>
      </c>
      <c r="C5" s="17">
        <f>IFERROR(__xludf.DUMMYFUNCTION("""COMPUTED_VALUE"""),822.1377777777777)</f>
        <v>822.1377778</v>
      </c>
      <c r="D5" s="17">
        <f>IFERROR(__xludf.DUMMYFUNCTION("""COMPUTED_VALUE"""),85365.87)</f>
        <v>85365.87</v>
      </c>
      <c r="E5" s="17">
        <f>IFERROR(__xludf.DUMMYFUNCTION("""COMPUTED_VALUE"""),2104.8888888888887)</f>
        <v>2104.888889</v>
      </c>
      <c r="F5" s="17">
        <f>IFERROR(__xludf.DUMMYFUNCTION("""COMPUTED_VALUE"""),319666.20000000007)</f>
        <v>319666.2</v>
      </c>
      <c r="G5" s="17">
        <f>IFERROR(__xludf.DUMMYFUNCTION("""COMPUTED_VALUE"""),2927.0288888888886)</f>
        <v>2927.028889</v>
      </c>
      <c r="H5" s="17">
        <f>IFERROR(__xludf.DUMMYFUNCTION("""COMPUTED_VALUE"""),405032.06999999995)</f>
        <v>405032.07</v>
      </c>
    </row>
    <row r="6">
      <c r="A6" s="18" t="str">
        <f>IFERROR(__xludf.DUMMYFUNCTION("""COMPUTED_VALUE"""),"SANTANDER CONSUMER USA")</f>
        <v>SANTANDER CONSUMER USA</v>
      </c>
      <c r="B6" s="16">
        <f>IFERROR(__xludf.DUMMYFUNCTION("""COMPUTED_VALUE"""),130.0)</f>
        <v>130</v>
      </c>
      <c r="C6" s="17">
        <f>IFERROR(__xludf.DUMMYFUNCTION("""COMPUTED_VALUE"""),71.14999999999999)</f>
        <v>71.15</v>
      </c>
      <c r="D6" s="17">
        <f>IFERROR(__xludf.DUMMYFUNCTION("""COMPUTED_VALUE"""),-54099.54)</f>
        <v>-54099.54</v>
      </c>
      <c r="E6" s="17">
        <f>IFERROR(__xludf.DUMMYFUNCTION("""COMPUTED_VALUE"""),2343.86)</f>
        <v>2343.86</v>
      </c>
      <c r="F6" s="17">
        <f>IFERROR(__xludf.DUMMYFUNCTION("""COMPUTED_VALUE"""),314993.3)</f>
        <v>314993.3</v>
      </c>
      <c r="G6" s="17">
        <f>IFERROR(__xludf.DUMMYFUNCTION("""COMPUTED_VALUE"""),2415.008333333333)</f>
        <v>2415.008333</v>
      </c>
      <c r="H6" s="17">
        <f>IFERROR(__xludf.DUMMYFUNCTION("""COMPUTED_VALUE"""),260893.75999999998)</f>
        <v>260893.76</v>
      </c>
    </row>
    <row r="7">
      <c r="A7" s="15" t="str">
        <f>IFERROR(__xludf.DUMMYFUNCTION("""COMPUTED_VALUE"""),"EXETER FINANCE CORPORATION")</f>
        <v>EXETER FINANCE CORPORATION</v>
      </c>
      <c r="B7" s="16">
        <f>IFERROR(__xludf.DUMMYFUNCTION("""COMPUTED_VALUE"""),75.0)</f>
        <v>75</v>
      </c>
      <c r="C7" s="17">
        <f>IFERROR(__xludf.DUMMYFUNCTION("""COMPUTED_VALUE"""),217.69999999999996)</f>
        <v>217.7</v>
      </c>
      <c r="D7" s="17">
        <f>IFERROR(__xludf.DUMMYFUNCTION("""COMPUTED_VALUE"""),-9863.970000000001)</f>
        <v>-9863.97</v>
      </c>
      <c r="E7" s="17">
        <f>IFERROR(__xludf.DUMMYFUNCTION("""COMPUTED_VALUE"""),1209.9410000000003)</f>
        <v>1209.941</v>
      </c>
      <c r="F7" s="17">
        <f>IFERROR(__xludf.DUMMYFUNCTION("""COMPUTED_VALUE"""),100935.6)</f>
        <v>100935.6</v>
      </c>
      <c r="G7" s="17">
        <f>IFERROR(__xludf.DUMMYFUNCTION("""COMPUTED_VALUE"""),1427.6399999999999)</f>
        <v>1427.64</v>
      </c>
      <c r="H7" s="17">
        <f>IFERROR(__xludf.DUMMYFUNCTION("""COMPUTED_VALUE"""),91071.62999999999)</f>
        <v>91071.63</v>
      </c>
    </row>
    <row r="8">
      <c r="A8" s="15" t="str">
        <f>IFERROR(__xludf.DUMMYFUNCTION("""COMPUTED_VALUE"""),"ALLY FINANCIAL")</f>
        <v>ALLY FINANCIAL</v>
      </c>
      <c r="B8" s="16">
        <f>IFERROR(__xludf.DUMMYFUNCTION("""COMPUTED_VALUE"""),74.0)</f>
        <v>74</v>
      </c>
      <c r="C8" s="17">
        <f>IFERROR(__xludf.DUMMYFUNCTION("""COMPUTED_VALUE"""),583.0842857142858)</f>
        <v>583.0842857</v>
      </c>
      <c r="D8" s="17">
        <f>IFERROR(__xludf.DUMMYFUNCTION("""COMPUTED_VALUE"""),53833.25)</f>
        <v>53833.25</v>
      </c>
      <c r="E8" s="17">
        <f>IFERROR(__xludf.DUMMYFUNCTION("""COMPUTED_VALUE"""),2629.121428571428)</f>
        <v>2629.121429</v>
      </c>
      <c r="F8" s="17">
        <f>IFERROR(__xludf.DUMMYFUNCTION("""COMPUTED_VALUE"""),190058.44)</f>
        <v>190058.44</v>
      </c>
      <c r="G8" s="17">
        <f>IFERROR(__xludf.DUMMYFUNCTION("""COMPUTED_VALUE"""),3212.2057142857147)</f>
        <v>3212.205714</v>
      </c>
      <c r="H8" s="17">
        <f>IFERROR(__xludf.DUMMYFUNCTION("""COMPUTED_VALUE"""),243891.69)</f>
        <v>243891.69</v>
      </c>
    </row>
    <row r="9">
      <c r="A9" s="15" t="str">
        <f>IFERROR(__xludf.DUMMYFUNCTION("""COMPUTED_VALUE"""),"TRUIST BANK")</f>
        <v>TRUIST BANK</v>
      </c>
      <c r="B9" s="16">
        <f>IFERROR(__xludf.DUMMYFUNCTION("""COMPUTED_VALUE"""),70.0)</f>
        <v>70</v>
      </c>
      <c r="C9" s="17">
        <f>IFERROR(__xludf.DUMMYFUNCTION("""COMPUTED_VALUE"""),445.44899999999996)</f>
        <v>445.449</v>
      </c>
      <c r="D9" s="17">
        <f>IFERROR(__xludf.DUMMYFUNCTION("""COMPUTED_VALUE"""),38247.770000000004)</f>
        <v>38247.77</v>
      </c>
      <c r="E9" s="17">
        <f>IFERROR(__xludf.DUMMYFUNCTION("""COMPUTED_VALUE"""),3018.2589999999996)</f>
        <v>3018.259</v>
      </c>
      <c r="F9" s="17">
        <f>IFERROR(__xludf.DUMMYFUNCTION("""COMPUTED_VALUE"""),217457.9)</f>
        <v>217457.9</v>
      </c>
      <c r="G9" s="17">
        <f>IFERROR(__xludf.DUMMYFUNCTION("""COMPUTED_VALUE"""),3463.707)</f>
        <v>3463.707</v>
      </c>
      <c r="H9" s="17">
        <f>IFERROR(__xludf.DUMMYFUNCTION("""COMPUTED_VALUE"""),255705.67)</f>
        <v>255705.67</v>
      </c>
    </row>
    <row r="10">
      <c r="A10" s="18" t="str">
        <f>IFERROR(__xludf.DUMMYFUNCTION("""COMPUTED_VALUE"""),"REGIONAL ACCEPTANCE CORPORATION")</f>
        <v>REGIONAL ACCEPTANCE CORPORATION</v>
      </c>
      <c r="B10" s="16">
        <f>IFERROR(__xludf.DUMMYFUNCTION("""COMPUTED_VALUE"""),67.0)</f>
        <v>67</v>
      </c>
      <c r="C10" s="17">
        <f>IFERROR(__xludf.DUMMYFUNCTION("""COMPUTED_VALUE"""),256.2749999999999)</f>
        <v>256.275</v>
      </c>
      <c r="D10" s="17">
        <f>IFERROR(__xludf.DUMMYFUNCTION("""COMPUTED_VALUE"""),52526.1)</f>
        <v>52526.1</v>
      </c>
      <c r="E10" s="17">
        <f>IFERROR(__xludf.DUMMYFUNCTION("""COMPUTED_VALUE"""),2397.51125)</f>
        <v>2397.51125</v>
      </c>
      <c r="F10" s="17">
        <f>IFERROR(__xludf.DUMMYFUNCTION("""COMPUTED_VALUE"""),165481.97)</f>
        <v>165481.97</v>
      </c>
      <c r="G10" s="17">
        <f>IFERROR(__xludf.DUMMYFUNCTION("""COMPUTED_VALUE"""),2653.7887499999997)</f>
        <v>2653.78875</v>
      </c>
      <c r="H10" s="17">
        <f>IFERROR(__xludf.DUMMYFUNCTION("""COMPUTED_VALUE"""),218008.07)</f>
        <v>218008.07</v>
      </c>
    </row>
    <row r="11">
      <c r="A11" s="18" t="str">
        <f>IFERROR(__xludf.DUMMYFUNCTION("""COMPUTED_VALUE"""),"OSF")</f>
        <v>OSF</v>
      </c>
      <c r="B11" s="16">
        <f>IFERROR(__xludf.DUMMYFUNCTION("""COMPUTED_VALUE"""),67.0)</f>
        <v>67</v>
      </c>
      <c r="C11" s="17">
        <f>IFERROR(__xludf.DUMMYFUNCTION("""COMPUTED_VALUE"""),354.71)</f>
        <v>354.71</v>
      </c>
      <c r="D11" s="17">
        <f>IFERROR(__xludf.DUMMYFUNCTION("""COMPUTED_VALUE"""),23765.61)</f>
        <v>23765.61</v>
      </c>
      <c r="E11" s="17">
        <f>IFERROR(__xludf.DUMMYFUNCTION("""COMPUTED_VALUE"""),111.51)</f>
        <v>111.51</v>
      </c>
      <c r="F11" s="17">
        <f>IFERROR(__xludf.DUMMYFUNCTION("""COMPUTED_VALUE"""),7471.31)</f>
        <v>7471.31</v>
      </c>
      <c r="G11" s="17">
        <f>IFERROR(__xludf.DUMMYFUNCTION("""COMPUTED_VALUE"""),466.22)</f>
        <v>466.22</v>
      </c>
      <c r="H11" s="17">
        <f>IFERROR(__xludf.DUMMYFUNCTION("""COMPUTED_VALUE"""),31236.92)</f>
        <v>31236.92</v>
      </c>
    </row>
    <row r="12">
      <c r="A12" s="18" t="str">
        <f>IFERROR(__xludf.DUMMYFUNCTION("""COMPUTED_VALUE"""),"GLOBAL LENDING SERVICES ")</f>
        <v>GLOBAL LENDING SERVICES </v>
      </c>
      <c r="B12" s="16">
        <f>IFERROR(__xludf.DUMMYFUNCTION("""COMPUTED_VALUE"""),64.0)</f>
        <v>64</v>
      </c>
      <c r="C12" s="17">
        <f>IFERROR(__xludf.DUMMYFUNCTION("""COMPUTED_VALUE"""),1140.2242857142855)</f>
        <v>1140.224286</v>
      </c>
      <c r="D12" s="17">
        <f>IFERROR(__xludf.DUMMYFUNCTION("""COMPUTED_VALUE"""),30938.58)</f>
        <v>30938.58</v>
      </c>
      <c r="E12" s="17">
        <f>IFERROR(__xludf.DUMMYFUNCTION("""COMPUTED_VALUE"""),2145.9528571428573)</f>
        <v>2145.952857</v>
      </c>
      <c r="F12" s="17">
        <f>IFERROR(__xludf.DUMMYFUNCTION("""COMPUTED_VALUE"""),153909.41)</f>
        <v>153909.41</v>
      </c>
      <c r="G12" s="17">
        <f>IFERROR(__xludf.DUMMYFUNCTION("""COMPUTED_VALUE"""),3286.1785714285716)</f>
        <v>3286.178571</v>
      </c>
      <c r="H12" s="17">
        <f>IFERROR(__xludf.DUMMYFUNCTION("""COMPUTED_VALUE"""),184847.99000000002)</f>
        <v>184847.99</v>
      </c>
    </row>
    <row r="13">
      <c r="A13" s="18" t="str">
        <f>IFERROR(__xludf.DUMMYFUNCTION("""COMPUTED_VALUE"""),"HYUNDAI MOTOR FINANCE")</f>
        <v>HYUNDAI MOTOR FINANCE</v>
      </c>
      <c r="B13" s="16">
        <f>IFERROR(__xludf.DUMMYFUNCTION("""COMPUTED_VALUE"""),61.0)</f>
        <v>61</v>
      </c>
      <c r="C13" s="17">
        <f>IFERROR(__xludf.DUMMYFUNCTION("""COMPUTED_VALUE"""),1294.02)</f>
        <v>1294.02</v>
      </c>
      <c r="D13" s="17">
        <f>IFERROR(__xludf.DUMMYFUNCTION("""COMPUTED_VALUE"""),58613.98)</f>
        <v>58613.98</v>
      </c>
      <c r="E13" s="17">
        <f>IFERROR(__xludf.DUMMYFUNCTION("""COMPUTED_VALUE"""),1673.4725)</f>
        <v>1673.4725</v>
      </c>
      <c r="F13" s="17">
        <f>IFERROR(__xludf.DUMMYFUNCTION("""COMPUTED_VALUE"""),103568.77)</f>
        <v>103568.77</v>
      </c>
      <c r="G13" s="17">
        <f>IFERROR(__xludf.DUMMYFUNCTION("""COMPUTED_VALUE"""),2967.4900000000002)</f>
        <v>2967.49</v>
      </c>
      <c r="H13" s="17">
        <f>IFERROR(__xludf.DUMMYFUNCTION("""COMPUTED_VALUE"""),162182.75000000003)</f>
        <v>162182.75</v>
      </c>
    </row>
    <row r="14">
      <c r="A14" s="18" t="str">
        <f>IFERROR(__xludf.DUMMYFUNCTION("""COMPUTED_VALUE"""),"WELLS FARGO AUTO")</f>
        <v>WELLS FARGO AUTO</v>
      </c>
      <c r="B14" s="16">
        <f>IFERROR(__xludf.DUMMYFUNCTION("""COMPUTED_VALUE"""),52.0)</f>
        <v>52</v>
      </c>
      <c r="C14" s="17">
        <f>IFERROR(__xludf.DUMMYFUNCTION("""COMPUTED_VALUE"""),2333.172857142857)</f>
        <v>2333.172857</v>
      </c>
      <c r="D14" s="17">
        <f>IFERROR(__xludf.DUMMYFUNCTION("""COMPUTED_VALUE"""),92100.70999999999)</f>
        <v>92100.71</v>
      </c>
      <c r="E14" s="17">
        <f>IFERROR(__xludf.DUMMYFUNCTION("""COMPUTED_VALUE"""),2012.1542857142856)</f>
        <v>2012.154286</v>
      </c>
      <c r="F14" s="17">
        <f>IFERROR(__xludf.DUMMYFUNCTION("""COMPUTED_VALUE"""),115102.98000000001)</f>
        <v>115102.98</v>
      </c>
      <c r="G14" s="17">
        <f>IFERROR(__xludf.DUMMYFUNCTION("""COMPUTED_VALUE"""),4345.325714285714)</f>
        <v>4345.325714</v>
      </c>
      <c r="H14" s="17">
        <f>IFERROR(__xludf.DUMMYFUNCTION("""COMPUTED_VALUE"""),207203.69000000003)</f>
        <v>207203.69</v>
      </c>
    </row>
    <row r="15">
      <c r="A15" s="18" t="str">
        <f>IFERROR(__xludf.DUMMYFUNCTION("""COMPUTED_VALUE"""),"EASTMAN CU")</f>
        <v>EASTMAN CU</v>
      </c>
      <c r="B15" s="16">
        <f>IFERROR(__xludf.DUMMYFUNCTION("""COMPUTED_VALUE"""),48.0)</f>
        <v>48</v>
      </c>
      <c r="C15" s="17">
        <f>IFERROR(__xludf.DUMMYFUNCTION("""COMPUTED_VALUE"""),572.31)</f>
        <v>572.31</v>
      </c>
      <c r="D15" s="17">
        <f>IFERROR(__xludf.DUMMYFUNCTION("""COMPUTED_VALUE"""),41825.08)</f>
        <v>41825.08</v>
      </c>
      <c r="E15" s="17">
        <f>IFERROR(__xludf.DUMMYFUNCTION("""COMPUTED_VALUE"""),1798.18)</f>
        <v>1798.18</v>
      </c>
      <c r="F15" s="17">
        <f>IFERROR(__xludf.DUMMYFUNCTION("""COMPUTED_VALUE"""),92891.76)</f>
        <v>92891.76</v>
      </c>
      <c r="G15" s="17">
        <f>IFERROR(__xludf.DUMMYFUNCTION("""COMPUTED_VALUE"""),2370.4900000000002)</f>
        <v>2370.49</v>
      </c>
      <c r="H15" s="17">
        <f>IFERROR(__xludf.DUMMYFUNCTION("""COMPUTED_VALUE"""),134716.84)</f>
        <v>134716.84</v>
      </c>
    </row>
    <row r="16">
      <c r="A16" s="15" t="str">
        <f>IFERROR(__xludf.DUMMYFUNCTION("""COMPUTED_VALUE"""),"TD AUTO FINANCE")</f>
        <v>TD AUTO FINANCE</v>
      </c>
      <c r="B16" s="16">
        <f>IFERROR(__xludf.DUMMYFUNCTION("""COMPUTED_VALUE"""),47.0)</f>
        <v>47</v>
      </c>
      <c r="C16" s="17">
        <f>IFERROR(__xludf.DUMMYFUNCTION("""COMPUTED_VALUE"""),637.4557142857144)</f>
        <v>637.4557143</v>
      </c>
      <c r="D16" s="17">
        <f>IFERROR(__xludf.DUMMYFUNCTION("""COMPUTED_VALUE"""),52793.64)</f>
        <v>52793.64</v>
      </c>
      <c r="E16" s="17">
        <f>IFERROR(__xludf.DUMMYFUNCTION("""COMPUTED_VALUE"""),3234.9385714285713)</f>
        <v>3234.938571</v>
      </c>
      <c r="F16" s="17">
        <f>IFERROR(__xludf.DUMMYFUNCTION("""COMPUTED_VALUE"""),170401.62000000002)</f>
        <v>170401.62</v>
      </c>
      <c r="G16" s="17">
        <f>IFERROR(__xludf.DUMMYFUNCTION("""COMPUTED_VALUE"""),3872.394285714286)</f>
        <v>3872.394286</v>
      </c>
      <c r="H16" s="17">
        <f>IFERROR(__xludf.DUMMYFUNCTION("""COMPUTED_VALUE"""),223195.25999999998)</f>
        <v>223195.26</v>
      </c>
    </row>
    <row r="17">
      <c r="A17" s="18" t="str">
        <f>IFERROR(__xludf.DUMMYFUNCTION("""COMPUTED_VALUE"""),"AMERICAN CREDIT ACCEPTANCE")</f>
        <v>AMERICAN CREDIT ACCEPTANCE</v>
      </c>
      <c r="B17" s="16">
        <f>IFERROR(__xludf.DUMMYFUNCTION("""COMPUTED_VALUE"""),46.0)</f>
        <v>46</v>
      </c>
      <c r="C17" s="17">
        <f>IFERROR(__xludf.DUMMYFUNCTION("""COMPUTED_VALUE"""),-917.825)</f>
        <v>-917.825</v>
      </c>
      <c r="D17" s="17">
        <f>IFERROR(__xludf.DUMMYFUNCTION("""COMPUTED_VALUE"""),-97899.68000000001)</f>
        <v>-97899.68</v>
      </c>
      <c r="E17" s="17">
        <f>IFERROR(__xludf.DUMMYFUNCTION("""COMPUTED_VALUE"""),2588.9075000000003)</f>
        <v>2588.9075</v>
      </c>
      <c r="F17" s="17">
        <f>IFERROR(__xludf.DUMMYFUNCTION("""COMPUTED_VALUE"""),123261.41)</f>
        <v>123261.41</v>
      </c>
      <c r="G17" s="17">
        <f>IFERROR(__xludf.DUMMYFUNCTION("""COMPUTED_VALUE"""),1671.08)</f>
        <v>1671.08</v>
      </c>
      <c r="H17" s="17">
        <f>IFERROR(__xludf.DUMMYFUNCTION("""COMPUTED_VALUE"""),25361.73)</f>
        <v>25361.73</v>
      </c>
    </row>
    <row r="18">
      <c r="A18" s="18" t="str">
        <f>IFERROR(__xludf.DUMMYFUNCTION("""COMPUTED_VALUE"""),"PNC BANK")</f>
        <v>PNC BANK</v>
      </c>
      <c r="B18" s="16">
        <f>IFERROR(__xludf.DUMMYFUNCTION("""COMPUTED_VALUE"""),44.0)</f>
        <v>44</v>
      </c>
      <c r="C18" s="17">
        <f>IFERROR(__xludf.DUMMYFUNCTION("""COMPUTED_VALUE"""),-27.12000000000005)</f>
        <v>-27.12</v>
      </c>
      <c r="D18" s="17">
        <f>IFERROR(__xludf.DUMMYFUNCTION("""COMPUTED_VALUE"""),17240.3)</f>
        <v>17240.3</v>
      </c>
      <c r="E18" s="17">
        <f>IFERROR(__xludf.DUMMYFUNCTION("""COMPUTED_VALUE"""),2367.346)</f>
        <v>2367.346</v>
      </c>
      <c r="F18" s="17">
        <f>IFERROR(__xludf.DUMMYFUNCTION("""COMPUTED_VALUE"""),121625.40000000001)</f>
        <v>121625.4</v>
      </c>
      <c r="G18" s="17">
        <f>IFERROR(__xludf.DUMMYFUNCTION("""COMPUTED_VALUE"""),2340.2259999999997)</f>
        <v>2340.226</v>
      </c>
      <c r="H18" s="17">
        <f>IFERROR(__xludf.DUMMYFUNCTION("""COMPUTED_VALUE"""),138865.7)</f>
        <v>138865.7</v>
      </c>
    </row>
    <row r="19">
      <c r="A19" s="18" t="str">
        <f>IFERROR(__xludf.DUMMYFUNCTION("""COMPUTED_VALUE"""),"MERITRUST FCU")</f>
        <v>MERITRUST FCU</v>
      </c>
      <c r="B19" s="16">
        <f>IFERROR(__xludf.DUMMYFUNCTION("""COMPUTED_VALUE"""),39.0)</f>
        <v>39</v>
      </c>
      <c r="C19" s="17">
        <f>IFERROR(__xludf.DUMMYFUNCTION("""COMPUTED_VALUE"""),597.0550000000001)</f>
        <v>597.055</v>
      </c>
      <c r="D19" s="17">
        <f>IFERROR(__xludf.DUMMYFUNCTION("""COMPUTED_VALUE"""),23652.940000000002)</f>
        <v>23652.94</v>
      </c>
      <c r="E19" s="17">
        <f>IFERROR(__xludf.DUMMYFUNCTION("""COMPUTED_VALUE"""),2506.36)</f>
        <v>2506.36</v>
      </c>
      <c r="F19" s="17">
        <f>IFERROR(__xludf.DUMMYFUNCTION("""COMPUTED_VALUE"""),99891.88)</f>
        <v>99891.88</v>
      </c>
      <c r="G19" s="17">
        <f>IFERROR(__xludf.DUMMYFUNCTION("""COMPUTED_VALUE"""),3103.415)</f>
        <v>3103.415</v>
      </c>
      <c r="H19" s="17">
        <f>IFERROR(__xludf.DUMMYFUNCTION("""COMPUTED_VALUE"""),123544.82)</f>
        <v>123544.82</v>
      </c>
    </row>
    <row r="20">
      <c r="A20" s="18" t="str">
        <f>IFERROR(__xludf.DUMMYFUNCTION("""COMPUTED_VALUE"""),"VW CREDIT")</f>
        <v>VW CREDIT</v>
      </c>
      <c r="B20" s="16">
        <f>IFERROR(__xludf.DUMMYFUNCTION("""COMPUTED_VALUE"""),37.0)</f>
        <v>37</v>
      </c>
      <c r="C20" s="17">
        <f>IFERROR(__xludf.DUMMYFUNCTION("""COMPUTED_VALUE"""),1072.9366666666667)</f>
        <v>1072.936667</v>
      </c>
      <c r="D20" s="17">
        <f>IFERROR(__xludf.DUMMYFUNCTION("""COMPUTED_VALUE"""),27967.78)</f>
        <v>27967.78</v>
      </c>
      <c r="E20" s="17">
        <f>IFERROR(__xludf.DUMMYFUNCTION("""COMPUTED_VALUE"""),2694.0899999999997)</f>
        <v>2694.09</v>
      </c>
      <c r="F20" s="17">
        <f>IFERROR(__xludf.DUMMYFUNCTION("""COMPUTED_VALUE"""),96823.9)</f>
        <v>96823.9</v>
      </c>
      <c r="G20" s="17">
        <f>IFERROR(__xludf.DUMMYFUNCTION("""COMPUTED_VALUE"""),3767.03)</f>
        <v>3767.03</v>
      </c>
      <c r="H20" s="17">
        <f>IFERROR(__xludf.DUMMYFUNCTION("""COMPUTED_VALUE"""),124791.68)</f>
        <v>124791.68</v>
      </c>
    </row>
    <row r="21">
      <c r="A21" s="18" t="str">
        <f>IFERROR(__xludf.DUMMYFUNCTION("""COMPUTED_VALUE"""),"AMERICAN HONDA FINANCE")</f>
        <v>AMERICAN HONDA FINANCE</v>
      </c>
      <c r="B21" s="16">
        <f>IFERROR(__xludf.DUMMYFUNCTION("""COMPUTED_VALUE"""),37.0)</f>
        <v>37</v>
      </c>
      <c r="C21" s="17">
        <f>IFERROR(__xludf.DUMMYFUNCTION("""COMPUTED_VALUE"""),1612.395)</f>
        <v>1612.395</v>
      </c>
      <c r="D21" s="17">
        <f>IFERROR(__xludf.DUMMYFUNCTION("""COMPUTED_VALUE"""),41109.770000000004)</f>
        <v>41109.77</v>
      </c>
      <c r="E21" s="17">
        <f>IFERROR(__xludf.DUMMYFUNCTION("""COMPUTED_VALUE"""),1380.7649999999999)</f>
        <v>1380.765</v>
      </c>
      <c r="F21" s="17">
        <f>IFERROR(__xludf.DUMMYFUNCTION("""COMPUTED_VALUE"""),76754.33)</f>
        <v>76754.33</v>
      </c>
      <c r="G21" s="17">
        <f>IFERROR(__xludf.DUMMYFUNCTION("""COMPUTED_VALUE"""),2993.17)</f>
        <v>2993.17</v>
      </c>
      <c r="H21" s="17">
        <f>IFERROR(__xludf.DUMMYFUNCTION("""COMPUTED_VALUE"""),117864.09999999999)</f>
        <v>117864.1</v>
      </c>
    </row>
    <row r="22">
      <c r="A22" s="18" t="str">
        <f>IFERROR(__xludf.DUMMYFUNCTION("""COMPUTED_VALUE"""),"RED RIVER FCU")</f>
        <v>RED RIVER FCU</v>
      </c>
      <c r="B22" s="16">
        <f>IFERROR(__xludf.DUMMYFUNCTION("""COMPUTED_VALUE"""),31.0)</f>
        <v>31</v>
      </c>
      <c r="C22" s="17">
        <f>IFERROR(__xludf.DUMMYFUNCTION("""COMPUTED_VALUE"""),1359.0525)</f>
        <v>1359.0525</v>
      </c>
      <c r="D22" s="17">
        <f>IFERROR(__xludf.DUMMYFUNCTION("""COMPUTED_VALUE"""),26033.030000000002)</f>
        <v>26033.03</v>
      </c>
      <c r="E22" s="17">
        <f>IFERROR(__xludf.DUMMYFUNCTION("""COMPUTED_VALUE"""),2868.9)</f>
        <v>2868.9</v>
      </c>
      <c r="F22" s="17">
        <f>IFERROR(__xludf.DUMMYFUNCTION("""COMPUTED_VALUE"""),111940.2)</f>
        <v>111940.2</v>
      </c>
      <c r="G22" s="17">
        <f>IFERROR(__xludf.DUMMYFUNCTION("""COMPUTED_VALUE"""),4227.95)</f>
        <v>4227.95</v>
      </c>
      <c r="H22" s="17">
        <f>IFERROR(__xludf.DUMMYFUNCTION("""COMPUTED_VALUE"""),137973.22999999998)</f>
        <v>137973.23</v>
      </c>
    </row>
    <row r="23">
      <c r="A23" s="18" t="str">
        <f>IFERROR(__xludf.DUMMYFUNCTION("""COMPUTED_VALUE"""),"BARKSDALE FCU")</f>
        <v>BARKSDALE FCU</v>
      </c>
      <c r="B23" s="16">
        <f>IFERROR(__xludf.DUMMYFUNCTION("""COMPUTED_VALUE"""),28.0)</f>
        <v>28</v>
      </c>
      <c r="C23" s="17">
        <f>IFERROR(__xludf.DUMMYFUNCTION("""COMPUTED_VALUE"""),621.16)</f>
        <v>621.16</v>
      </c>
      <c r="D23" s="17">
        <f>IFERROR(__xludf.DUMMYFUNCTION("""COMPUTED_VALUE"""),20039.54)</f>
        <v>20039.54</v>
      </c>
      <c r="E23" s="17">
        <f>IFERROR(__xludf.DUMMYFUNCTION("""COMPUTED_VALUE"""),1396.9033333333334)</f>
        <v>1396.903333</v>
      </c>
      <c r="F23" s="17">
        <f>IFERROR(__xludf.DUMMYFUNCTION("""COMPUTED_VALUE"""),53868.74)</f>
        <v>53868.74</v>
      </c>
      <c r="G23" s="17">
        <f>IFERROR(__xludf.DUMMYFUNCTION("""COMPUTED_VALUE"""),2018.0633333333335)</f>
        <v>2018.063333</v>
      </c>
      <c r="H23" s="17">
        <f>IFERROR(__xludf.DUMMYFUNCTION("""COMPUTED_VALUE"""),73908.28)</f>
        <v>73908.28</v>
      </c>
    </row>
    <row r="24">
      <c r="A24" s="18" t="str">
        <f>IFERROR(__xludf.DUMMYFUNCTION("""COMPUTED_VALUE"""),"#N/A")</f>
        <v>#N/A</v>
      </c>
      <c r="B24" s="16">
        <f>IFERROR(__xludf.DUMMYFUNCTION("""COMPUTED_VALUE"""),26.0)</f>
        <v>26</v>
      </c>
      <c r="C24" s="17">
        <f>IFERROR(__xludf.DUMMYFUNCTION("""COMPUTED_VALUE"""),1512.2199999999998)</f>
        <v>1512.22</v>
      </c>
      <c r="D24" s="17">
        <f>IFERROR(__xludf.DUMMYFUNCTION("""COMPUTED_VALUE"""),23766.730000000003)</f>
        <v>23766.73</v>
      </c>
      <c r="E24" s="17">
        <f>IFERROR(__xludf.DUMMYFUNCTION("""COMPUTED_VALUE"""),1890.4962499999997)</f>
        <v>1890.49625</v>
      </c>
      <c r="F24" s="17">
        <f>IFERROR(__xludf.DUMMYFUNCTION("""COMPUTED_VALUE"""),55483.44)</f>
        <v>55483.44</v>
      </c>
      <c r="G24" s="17">
        <f>IFERROR(__xludf.DUMMYFUNCTION("""COMPUTED_VALUE"""),3402.7162499999995)</f>
        <v>3402.71625</v>
      </c>
      <c r="H24" s="17">
        <f>IFERROR(__xludf.DUMMYFUNCTION("""COMPUTED_VALUE"""),79250.17)</f>
        <v>79250.17</v>
      </c>
    </row>
    <row r="25">
      <c r="A25" s="18" t="str">
        <f>IFERROR(__xludf.DUMMYFUNCTION("""COMPUTED_VALUE"""),"ARVEST BANK")</f>
        <v>ARVEST BANK</v>
      </c>
      <c r="B25" s="16">
        <f>IFERROR(__xludf.DUMMYFUNCTION("""COMPUTED_VALUE"""),26.0)</f>
        <v>26</v>
      </c>
      <c r="C25" s="17">
        <f>IFERROR(__xludf.DUMMYFUNCTION("""COMPUTED_VALUE"""),540.4549999999999)</f>
        <v>540.455</v>
      </c>
      <c r="D25" s="17">
        <f>IFERROR(__xludf.DUMMYFUNCTION("""COMPUTED_VALUE"""),20928.309999999998)</f>
        <v>20928.31</v>
      </c>
      <c r="E25" s="17">
        <f>IFERROR(__xludf.DUMMYFUNCTION("""COMPUTED_VALUE"""),2785.16)</f>
        <v>2785.16</v>
      </c>
      <c r="F25" s="17">
        <f>IFERROR(__xludf.DUMMYFUNCTION("""COMPUTED_VALUE"""),80065.51000000001)</f>
        <v>80065.51</v>
      </c>
      <c r="G25" s="17">
        <f>IFERROR(__xludf.DUMMYFUNCTION("""COMPUTED_VALUE"""),3325.6150000000002)</f>
        <v>3325.615</v>
      </c>
      <c r="H25" s="17">
        <f>IFERROR(__xludf.DUMMYFUNCTION("""COMPUTED_VALUE"""),100993.81999999999)</f>
        <v>100993.82</v>
      </c>
    </row>
    <row r="26">
      <c r="A26" s="18" t="str">
        <f>IFERROR(__xludf.DUMMYFUNCTION("""COMPUTED_VALUE"""),"FIFTH THIRD BANK")</f>
        <v>FIFTH THIRD BANK</v>
      </c>
      <c r="B26" s="16">
        <f>IFERROR(__xludf.DUMMYFUNCTION("""COMPUTED_VALUE"""),25.0)</f>
        <v>25</v>
      </c>
      <c r="C26" s="17">
        <f>IFERROR(__xludf.DUMMYFUNCTION("""COMPUTED_VALUE"""),929.4625000000001)</f>
        <v>929.4625</v>
      </c>
      <c r="D26" s="17">
        <f>IFERROR(__xludf.DUMMYFUNCTION("""COMPUTED_VALUE"""),20359.73)</f>
        <v>20359.73</v>
      </c>
      <c r="E26" s="17">
        <f>IFERROR(__xludf.DUMMYFUNCTION("""COMPUTED_VALUE"""),2812.9674999999997)</f>
        <v>2812.9675</v>
      </c>
      <c r="F26" s="17">
        <f>IFERROR(__xludf.DUMMYFUNCTION("""COMPUTED_VALUE"""),68863.57)</f>
        <v>68863.57</v>
      </c>
      <c r="G26" s="17">
        <f>IFERROR(__xludf.DUMMYFUNCTION("""COMPUTED_VALUE"""),3742.4275)</f>
        <v>3742.4275</v>
      </c>
      <c r="H26" s="17">
        <f>IFERROR(__xludf.DUMMYFUNCTION("""COMPUTED_VALUE"""),89223.3)</f>
        <v>89223.3</v>
      </c>
    </row>
    <row r="27">
      <c r="A27" s="18" t="str">
        <f>IFERROR(__xludf.DUMMYFUNCTION("""COMPUTED_VALUE"""),"WESTLAKE FINANCIAL SERVICES")</f>
        <v>WESTLAKE FINANCIAL SERVICES</v>
      </c>
      <c r="B27" s="16">
        <f>IFERROR(__xludf.DUMMYFUNCTION("""COMPUTED_VALUE"""),23.0)</f>
        <v>23</v>
      </c>
      <c r="C27" s="17">
        <f>IFERROR(__xludf.DUMMYFUNCTION("""COMPUTED_VALUE"""),851.9799999999999)</f>
        <v>851.98</v>
      </c>
      <c r="D27" s="17">
        <f>IFERROR(__xludf.DUMMYFUNCTION("""COMPUTED_VALUE"""),25478.509999999995)</f>
        <v>25478.51</v>
      </c>
      <c r="E27" s="17">
        <f>IFERROR(__xludf.DUMMYFUNCTION("""COMPUTED_VALUE"""),1495.574)</f>
        <v>1495.574</v>
      </c>
      <c r="F27" s="17">
        <f>IFERROR(__xludf.DUMMYFUNCTION("""COMPUTED_VALUE"""),23036.41)</f>
        <v>23036.41</v>
      </c>
      <c r="G27" s="17">
        <f>IFERROR(__xludf.DUMMYFUNCTION("""COMPUTED_VALUE"""),2347.5519999999997)</f>
        <v>2347.552</v>
      </c>
      <c r="H27" s="17">
        <f>IFERROR(__xludf.DUMMYFUNCTION("""COMPUTED_VALUE"""),48514.92)</f>
        <v>48514.92</v>
      </c>
    </row>
    <row r="28">
      <c r="A28" s="18" t="str">
        <f>IFERROR(__xludf.DUMMYFUNCTION("""COMPUTED_VALUE"""),"COMMERCE BANK")</f>
        <v>COMMERCE BANK</v>
      </c>
      <c r="B28" s="16">
        <f>IFERROR(__xludf.DUMMYFUNCTION("""COMPUTED_VALUE"""),21.0)</f>
        <v>21</v>
      </c>
      <c r="C28" s="17">
        <f>IFERROR(__xludf.DUMMYFUNCTION("""COMPUTED_VALUE"""),1487.295)</f>
        <v>1487.295</v>
      </c>
      <c r="D28" s="17">
        <f>IFERROR(__xludf.DUMMYFUNCTION("""COMPUTED_VALUE"""),28174.76)</f>
        <v>28174.76</v>
      </c>
      <c r="E28" s="17">
        <f>IFERROR(__xludf.DUMMYFUNCTION("""COMPUTED_VALUE"""),2815.3500000000004)</f>
        <v>2815.35</v>
      </c>
      <c r="F28" s="17">
        <f>IFERROR(__xludf.DUMMYFUNCTION("""COMPUTED_VALUE"""),38559.29)</f>
        <v>38559.29</v>
      </c>
      <c r="G28" s="17">
        <f>IFERROR(__xludf.DUMMYFUNCTION("""COMPUTED_VALUE"""),4302.6449999999995)</f>
        <v>4302.645</v>
      </c>
      <c r="H28" s="17">
        <f>IFERROR(__xludf.DUMMYFUNCTION("""COMPUTED_VALUE"""),66734.05)</f>
        <v>66734.05</v>
      </c>
    </row>
    <row r="29">
      <c r="A29" s="18" t="str">
        <f>IFERROR(__xludf.DUMMYFUNCTION("""COMPUTED_VALUE"""),"CUA")</f>
        <v>CUA</v>
      </c>
      <c r="B29" s="16">
        <f>IFERROR(__xludf.DUMMYFUNCTION("""COMPUTED_VALUE"""),20.0)</f>
        <v>20</v>
      </c>
      <c r="C29" s="17">
        <f>IFERROR(__xludf.DUMMYFUNCTION("""COMPUTED_VALUE"""),921.63)</f>
        <v>921.63</v>
      </c>
      <c r="D29" s="17">
        <f>IFERROR(__xludf.DUMMYFUNCTION("""COMPUTED_VALUE"""),18432.65)</f>
        <v>18432.65</v>
      </c>
      <c r="E29" s="17">
        <f>IFERROR(__xludf.DUMMYFUNCTION("""COMPUTED_VALUE"""),2889.4)</f>
        <v>2889.4</v>
      </c>
      <c r="F29" s="17">
        <f>IFERROR(__xludf.DUMMYFUNCTION("""COMPUTED_VALUE"""),57788.08)</f>
        <v>57788.08</v>
      </c>
      <c r="G29" s="17">
        <f>IFERROR(__xludf.DUMMYFUNCTION("""COMPUTED_VALUE"""),3811.04)</f>
        <v>3811.04</v>
      </c>
      <c r="H29" s="17">
        <f>IFERROR(__xludf.DUMMYFUNCTION("""COMPUTED_VALUE"""),76220.73)</f>
        <v>76220.73</v>
      </c>
    </row>
    <row r="30">
      <c r="A30" s="18" t="str">
        <f>IFERROR(__xludf.DUMMYFUNCTION("""COMPUTED_VALUE"""),"GM FINANCIAL SERVICES")</f>
        <v>GM FINANCIAL SERVICES</v>
      </c>
      <c r="B30" s="16">
        <f>IFERROR(__xludf.DUMMYFUNCTION("""COMPUTED_VALUE"""),19.0)</f>
        <v>19</v>
      </c>
      <c r="C30" s="17">
        <f>IFERROR(__xludf.DUMMYFUNCTION("""COMPUTED_VALUE"""),-216.09000000000003)</f>
        <v>-216.09</v>
      </c>
      <c r="D30" s="17">
        <f>IFERROR(__xludf.DUMMYFUNCTION("""COMPUTED_VALUE"""),18465.8)</f>
        <v>18465.8</v>
      </c>
      <c r="E30" s="17">
        <f>IFERROR(__xludf.DUMMYFUNCTION("""COMPUTED_VALUE"""),2698.98)</f>
        <v>2698.98</v>
      </c>
      <c r="F30" s="17">
        <f>IFERROR(__xludf.DUMMYFUNCTION("""COMPUTED_VALUE"""),45307.590000000004)</f>
        <v>45307.59</v>
      </c>
      <c r="G30" s="17">
        <f>IFERROR(__xludf.DUMMYFUNCTION("""COMPUTED_VALUE"""),2482.89)</f>
        <v>2482.89</v>
      </c>
      <c r="H30" s="17">
        <f>IFERROR(__xludf.DUMMYFUNCTION("""COMPUTED_VALUE"""),63773.39)</f>
        <v>63773.39</v>
      </c>
    </row>
    <row r="31">
      <c r="A31" s="18" t="str">
        <f>IFERROR(__xludf.DUMMYFUNCTION("""COMPUTED_VALUE"""),"JP MORGAN CHASE BANK")</f>
        <v>JP MORGAN CHASE BANK</v>
      </c>
      <c r="B31" s="16">
        <f>IFERROR(__xludf.DUMMYFUNCTION("""COMPUTED_VALUE"""),16.0)</f>
        <v>16</v>
      </c>
      <c r="C31" s="17">
        <f>IFERROR(__xludf.DUMMYFUNCTION("""COMPUTED_VALUE"""),802.5325000000001)</f>
        <v>802.5325</v>
      </c>
      <c r="D31" s="17">
        <f>IFERROR(__xludf.DUMMYFUNCTION("""COMPUTED_VALUE"""),-2559.369999999999)</f>
        <v>-2559.37</v>
      </c>
      <c r="E31" s="17">
        <f>IFERROR(__xludf.DUMMYFUNCTION("""COMPUTED_VALUE"""),2731.5325)</f>
        <v>2731.5325</v>
      </c>
      <c r="F31" s="17">
        <f>IFERROR(__xludf.DUMMYFUNCTION("""COMPUTED_VALUE"""),35259.5)</f>
        <v>35259.5</v>
      </c>
      <c r="G31" s="17">
        <f>IFERROR(__xludf.DUMMYFUNCTION("""COMPUTED_VALUE"""),3534.0675)</f>
        <v>3534.0675</v>
      </c>
      <c r="H31" s="17">
        <f>IFERROR(__xludf.DUMMYFUNCTION("""COMPUTED_VALUE"""),32700.129999999997)</f>
        <v>32700.13</v>
      </c>
    </row>
    <row r="32">
      <c r="A32" s="18" t="str">
        <f>IFERROR(__xludf.DUMMYFUNCTION("""COMPUTED_VALUE"""),"ARKANSAS FCU")</f>
        <v>ARKANSAS FCU</v>
      </c>
      <c r="B32" s="16">
        <f>IFERROR(__xludf.DUMMYFUNCTION("""COMPUTED_VALUE"""),16.0)</f>
        <v>16</v>
      </c>
      <c r="C32" s="17">
        <f>IFERROR(__xludf.DUMMYFUNCTION("""COMPUTED_VALUE"""),1971.65)</f>
        <v>1971.65</v>
      </c>
      <c r="D32" s="17">
        <f>IFERROR(__xludf.DUMMYFUNCTION("""COMPUTED_VALUE"""),31546.4)</f>
        <v>31546.4</v>
      </c>
      <c r="E32" s="17">
        <f>IFERROR(__xludf.DUMMYFUNCTION("""COMPUTED_VALUE"""),2262.66)</f>
        <v>2262.66</v>
      </c>
      <c r="F32" s="17">
        <f>IFERROR(__xludf.DUMMYFUNCTION("""COMPUTED_VALUE"""),36202.63)</f>
        <v>36202.63</v>
      </c>
      <c r="G32" s="17">
        <f>IFERROR(__xludf.DUMMYFUNCTION("""COMPUTED_VALUE"""),4234.31)</f>
        <v>4234.31</v>
      </c>
      <c r="H32" s="17">
        <f>IFERROR(__xludf.DUMMYFUNCTION("""COMPUTED_VALUE"""),67749.03)</f>
        <v>67749.03</v>
      </c>
    </row>
    <row r="33">
      <c r="A33" s="18" t="str">
        <f>IFERROR(__xludf.DUMMYFUNCTION("""COMPUTED_VALUE"""),"COMMUNICATION FCU")</f>
        <v>COMMUNICATION FCU</v>
      </c>
      <c r="B33" s="16">
        <f>IFERROR(__xludf.DUMMYFUNCTION("""COMPUTED_VALUE"""),15.0)</f>
        <v>15</v>
      </c>
      <c r="C33" s="17">
        <f>IFERROR(__xludf.DUMMYFUNCTION("""COMPUTED_VALUE"""),-280.73)</f>
        <v>-280.73</v>
      </c>
      <c r="D33" s="17">
        <f>IFERROR(__xludf.DUMMYFUNCTION("""COMPUTED_VALUE"""),-4210.89)</f>
        <v>-4210.89</v>
      </c>
      <c r="E33" s="17">
        <f>IFERROR(__xludf.DUMMYFUNCTION("""COMPUTED_VALUE"""),2058.23)</f>
        <v>2058.23</v>
      </c>
      <c r="F33" s="17">
        <f>IFERROR(__xludf.DUMMYFUNCTION("""COMPUTED_VALUE"""),30873.47)</f>
        <v>30873.47</v>
      </c>
      <c r="G33" s="17">
        <f>IFERROR(__xludf.DUMMYFUNCTION("""COMPUTED_VALUE"""),1777.51)</f>
        <v>1777.51</v>
      </c>
      <c r="H33" s="17">
        <f>IFERROR(__xludf.DUMMYFUNCTION("""COMPUTED_VALUE"""),26662.58)</f>
        <v>26662.58</v>
      </c>
    </row>
    <row r="34">
      <c r="A34" s="18" t="str">
        <f>IFERROR(__xludf.DUMMYFUNCTION("""COMPUTED_VALUE"""),"WEOKIE FCU")</f>
        <v>WEOKIE FCU</v>
      </c>
      <c r="B34" s="16">
        <f>IFERROR(__xludf.DUMMYFUNCTION("""COMPUTED_VALUE"""),14.0)</f>
        <v>14</v>
      </c>
      <c r="C34" s="17">
        <f>IFERROR(__xludf.DUMMYFUNCTION("""COMPUTED_VALUE"""),-82.48)</f>
        <v>-82.48</v>
      </c>
      <c r="D34" s="17">
        <f>IFERROR(__xludf.DUMMYFUNCTION("""COMPUTED_VALUE"""),-1154.75)</f>
        <v>-1154.75</v>
      </c>
      <c r="E34" s="17">
        <f>IFERROR(__xludf.DUMMYFUNCTION("""COMPUTED_VALUE"""),1973.81)</f>
        <v>1973.81</v>
      </c>
      <c r="F34" s="17">
        <f>IFERROR(__xludf.DUMMYFUNCTION("""COMPUTED_VALUE"""),27633.37)</f>
        <v>27633.37</v>
      </c>
      <c r="G34" s="17">
        <f>IFERROR(__xludf.DUMMYFUNCTION("""COMPUTED_VALUE"""),1891.33)</f>
        <v>1891.33</v>
      </c>
      <c r="H34" s="17">
        <f>IFERROR(__xludf.DUMMYFUNCTION("""COMPUTED_VALUE"""),26478.62)</f>
        <v>26478.62</v>
      </c>
    </row>
    <row r="35">
      <c r="A35" s="18" t="str">
        <f>IFERROR(__xludf.DUMMYFUNCTION("""COMPUTED_VALUE"""),"CHRYSLER CAPITAL")</f>
        <v>CHRYSLER CAPITAL</v>
      </c>
      <c r="B35" s="16">
        <f>IFERROR(__xludf.DUMMYFUNCTION("""COMPUTED_VALUE"""),14.0)</f>
        <v>14</v>
      </c>
      <c r="C35" s="17">
        <f>IFERROR(__xludf.DUMMYFUNCTION("""COMPUTED_VALUE"""),862.5600000000001)</f>
        <v>862.56</v>
      </c>
      <c r="D35" s="17">
        <f>IFERROR(__xludf.DUMMYFUNCTION("""COMPUTED_VALUE"""),10698.01)</f>
        <v>10698.01</v>
      </c>
      <c r="E35" s="17">
        <f>IFERROR(__xludf.DUMMYFUNCTION("""COMPUTED_VALUE"""),2023.05)</f>
        <v>2023.05</v>
      </c>
      <c r="F35" s="17">
        <f>IFERROR(__xludf.DUMMYFUNCTION("""COMPUTED_VALUE"""),27744.059999999998)</f>
        <v>27744.06</v>
      </c>
      <c r="G35" s="17">
        <f>IFERROR(__xludf.DUMMYFUNCTION("""COMPUTED_VALUE"""),2885.61)</f>
        <v>2885.61</v>
      </c>
      <c r="H35" s="17">
        <f>IFERROR(__xludf.DUMMYFUNCTION("""COMPUTED_VALUE"""),38442.07)</f>
        <v>38442.07</v>
      </c>
    </row>
    <row r="36">
      <c r="A36" s="15" t="str">
        <f>IFERROR(__xludf.DUMMYFUNCTION("""COMPUTED_VALUE"""),"TINKER FCU")</f>
        <v>TINKER FCU</v>
      </c>
      <c r="B36" s="16">
        <f>IFERROR(__xludf.DUMMYFUNCTION("""COMPUTED_VALUE"""),13.0)</f>
        <v>13</v>
      </c>
      <c r="C36" s="17">
        <f>IFERROR(__xludf.DUMMYFUNCTION("""COMPUTED_VALUE"""),304.04)</f>
        <v>304.04</v>
      </c>
      <c r="D36" s="17">
        <f>IFERROR(__xludf.DUMMYFUNCTION("""COMPUTED_VALUE"""),3952.51)</f>
        <v>3952.51</v>
      </c>
      <c r="E36" s="17">
        <f>IFERROR(__xludf.DUMMYFUNCTION("""COMPUTED_VALUE"""),1298.14)</f>
        <v>1298.14</v>
      </c>
      <c r="F36" s="17">
        <f>IFERROR(__xludf.DUMMYFUNCTION("""COMPUTED_VALUE"""),16875.81)</f>
        <v>16875.81</v>
      </c>
      <c r="G36" s="17">
        <f>IFERROR(__xludf.DUMMYFUNCTION("""COMPUTED_VALUE"""),1602.18)</f>
        <v>1602.18</v>
      </c>
      <c r="H36" s="17">
        <f>IFERROR(__xludf.DUMMYFUNCTION("""COMPUTED_VALUE"""),20828.32)</f>
        <v>20828.32</v>
      </c>
    </row>
    <row r="37">
      <c r="A37" s="18" t="str">
        <f>IFERROR(__xludf.DUMMYFUNCTION("""COMPUTED_VALUE"""),"CONSUMER PORTFOLIO SERVICES")</f>
        <v>CONSUMER PORTFOLIO SERVICES</v>
      </c>
      <c r="B37" s="16">
        <f>IFERROR(__xludf.DUMMYFUNCTION("""COMPUTED_VALUE"""),13.0)</f>
        <v>13</v>
      </c>
      <c r="C37" s="17">
        <f>IFERROR(__xludf.DUMMYFUNCTION("""COMPUTED_VALUE"""),-527.28)</f>
        <v>-527.28</v>
      </c>
      <c r="D37" s="17">
        <f>IFERROR(__xludf.DUMMYFUNCTION("""COMPUTED_VALUE"""),-1510.7399999999998)</f>
        <v>-1510.74</v>
      </c>
      <c r="E37" s="17">
        <f>IFERROR(__xludf.DUMMYFUNCTION("""COMPUTED_VALUE"""),2257.165)</f>
        <v>2257.165</v>
      </c>
      <c r="F37" s="17">
        <f>IFERROR(__xludf.DUMMYFUNCTION("""COMPUTED_VALUE"""),25195.84)</f>
        <v>25195.84</v>
      </c>
      <c r="G37" s="17">
        <f>IFERROR(__xludf.DUMMYFUNCTION("""COMPUTED_VALUE"""),1729.8850000000002)</f>
        <v>1729.885</v>
      </c>
      <c r="H37" s="17">
        <f>IFERROR(__xludf.DUMMYFUNCTION("""COMPUTED_VALUE"""),23685.1)</f>
        <v>23685.1</v>
      </c>
    </row>
    <row r="38">
      <c r="A38" s="18" t="str">
        <f>IFERROR(__xludf.DUMMYFUNCTION("""COMPUTED_VALUE"""),"CREDIT ACCEPTANCE CORPORATION")</f>
        <v>CREDIT ACCEPTANCE CORPORATION</v>
      </c>
      <c r="B38" s="16">
        <f>IFERROR(__xludf.DUMMYFUNCTION("""COMPUTED_VALUE"""),12.0)</f>
        <v>12</v>
      </c>
      <c r="C38" s="17">
        <f>IFERROR(__xludf.DUMMYFUNCTION("""COMPUTED_VALUE"""),464.4375)</f>
        <v>464.4375</v>
      </c>
      <c r="D38" s="17">
        <f>IFERROR(__xludf.DUMMYFUNCTION("""COMPUTED_VALUE"""),2098.74)</f>
        <v>2098.74</v>
      </c>
      <c r="E38" s="17">
        <f>IFERROR(__xludf.DUMMYFUNCTION("""COMPUTED_VALUE"""),1210.875)</f>
        <v>1210.875</v>
      </c>
      <c r="F38" s="17">
        <f>IFERROR(__xludf.DUMMYFUNCTION("""COMPUTED_VALUE"""),11908.0)</f>
        <v>11908</v>
      </c>
      <c r="G38" s="17">
        <f>IFERROR(__xludf.DUMMYFUNCTION("""COMPUTED_VALUE"""),1675.315)</f>
        <v>1675.315</v>
      </c>
      <c r="H38" s="17">
        <f>IFERROR(__xludf.DUMMYFUNCTION("""COMPUTED_VALUE"""),14006.74)</f>
        <v>14006.74</v>
      </c>
    </row>
    <row r="39">
      <c r="A39" s="18" t="str">
        <f>IFERROR(__xludf.DUMMYFUNCTION("""COMPUTED_VALUE"""),"AMERICREDIT FINANCIAL SERVICES")</f>
        <v>AMERICREDIT FINANCIAL SERVICES</v>
      </c>
      <c r="B39" s="16">
        <f>IFERROR(__xludf.DUMMYFUNCTION("""COMPUTED_VALUE"""),11.0)</f>
        <v>11</v>
      </c>
      <c r="C39" s="17">
        <f>IFERROR(__xludf.DUMMYFUNCTION("""COMPUTED_VALUE"""),-159.25625000000002)</f>
        <v>-159.25625</v>
      </c>
      <c r="D39" s="17">
        <f>IFERROR(__xludf.DUMMYFUNCTION("""COMPUTED_VALUE"""),-3911.9200000000005)</f>
        <v>-3911.92</v>
      </c>
      <c r="E39" s="17">
        <f>IFERROR(__xludf.DUMMYFUNCTION("""COMPUTED_VALUE"""),1861.5225)</f>
        <v>1861.5225</v>
      </c>
      <c r="F39" s="17">
        <f>IFERROR(__xludf.DUMMYFUNCTION("""COMPUTED_VALUE"""),20551.339999999997)</f>
        <v>20551.34</v>
      </c>
      <c r="G39" s="17">
        <f>IFERROR(__xludf.DUMMYFUNCTION("""COMPUTED_VALUE"""),1702.2675000000004)</f>
        <v>1702.2675</v>
      </c>
      <c r="H39" s="17">
        <f>IFERROR(__xludf.DUMMYFUNCTION("""COMPUTED_VALUE"""),16639.42)</f>
        <v>16639.42</v>
      </c>
    </row>
    <row r="40">
      <c r="A40" s="18" t="str">
        <f>IFERROR(__xludf.DUMMYFUNCTION("""COMPUTED_VALUE"""),"TEXELL CU")</f>
        <v>TEXELL CU</v>
      </c>
      <c r="B40" s="16">
        <f>IFERROR(__xludf.DUMMYFUNCTION("""COMPUTED_VALUE"""),8.0)</f>
        <v>8</v>
      </c>
      <c r="C40" s="17">
        <f>IFERROR(__xludf.DUMMYFUNCTION("""COMPUTED_VALUE"""),1010.24)</f>
        <v>1010.24</v>
      </c>
      <c r="D40" s="17">
        <f>IFERROR(__xludf.DUMMYFUNCTION("""COMPUTED_VALUE"""),8081.91)</f>
        <v>8081.91</v>
      </c>
      <c r="E40" s="17">
        <f>IFERROR(__xludf.DUMMYFUNCTION("""COMPUTED_VALUE"""),1507.33)</f>
        <v>1507.33</v>
      </c>
      <c r="F40" s="17">
        <f>IFERROR(__xludf.DUMMYFUNCTION("""COMPUTED_VALUE"""),12058.61)</f>
        <v>12058.61</v>
      </c>
      <c r="G40" s="17">
        <f>IFERROR(__xludf.DUMMYFUNCTION("""COMPUTED_VALUE"""),2517.57)</f>
        <v>2517.57</v>
      </c>
      <c r="H40" s="17">
        <f>IFERROR(__xludf.DUMMYFUNCTION("""COMPUTED_VALUE"""),20140.52)</f>
        <v>20140.52</v>
      </c>
    </row>
    <row r="41">
      <c r="A41" s="18" t="str">
        <f>IFERROR(__xludf.DUMMYFUNCTION("""COMPUTED_VALUE"""),"STELLANTIS FINANCIAL SERV")</f>
        <v>STELLANTIS FINANCIAL SERV</v>
      </c>
      <c r="B41" s="16">
        <f>IFERROR(__xludf.DUMMYFUNCTION("""COMPUTED_VALUE"""),8.0)</f>
        <v>8</v>
      </c>
      <c r="C41" s="17">
        <f>IFERROR(__xludf.DUMMYFUNCTION("""COMPUTED_VALUE"""),-250.52999999999997)</f>
        <v>-250.53</v>
      </c>
      <c r="D41" s="17">
        <f>IFERROR(__xludf.DUMMYFUNCTION("""COMPUTED_VALUE"""),-1573.54)</f>
        <v>-1573.54</v>
      </c>
      <c r="E41" s="17">
        <f>IFERROR(__xludf.DUMMYFUNCTION("""COMPUTED_VALUE"""),3227.0333333333333)</f>
        <v>3227.033333</v>
      </c>
      <c r="F41" s="17">
        <f>IFERROR(__xludf.DUMMYFUNCTION("""COMPUTED_VALUE"""),24775.79)</f>
        <v>24775.79</v>
      </c>
      <c r="G41" s="17">
        <f>IFERROR(__xludf.DUMMYFUNCTION("""COMPUTED_VALUE"""),2976.5033333333326)</f>
        <v>2976.503333</v>
      </c>
      <c r="H41" s="17">
        <f>IFERROR(__xludf.DUMMYFUNCTION("""COMPUTED_VALUE"""),23202.25)</f>
        <v>23202.25</v>
      </c>
    </row>
    <row r="42">
      <c r="A42" s="18" t="str">
        <f>IFERROR(__xludf.DUMMYFUNCTION("""COMPUTED_VALUE"""),"UNITED FCU")</f>
        <v>UNITED FCU</v>
      </c>
      <c r="B42" s="16">
        <f>IFERROR(__xludf.DUMMYFUNCTION("""COMPUTED_VALUE"""),6.0)</f>
        <v>6</v>
      </c>
      <c r="C42" s="17">
        <f>IFERROR(__xludf.DUMMYFUNCTION("""COMPUTED_VALUE"""),5551.7)</f>
        <v>5551.7</v>
      </c>
      <c r="D42" s="17">
        <f>IFERROR(__xludf.DUMMYFUNCTION("""COMPUTED_VALUE"""),33310.21)</f>
        <v>33310.21</v>
      </c>
      <c r="E42" s="17">
        <f>IFERROR(__xludf.DUMMYFUNCTION("""COMPUTED_VALUE"""),2416.67)</f>
        <v>2416.67</v>
      </c>
      <c r="F42" s="17">
        <f>IFERROR(__xludf.DUMMYFUNCTION("""COMPUTED_VALUE"""),14499.99)</f>
        <v>14499.99</v>
      </c>
      <c r="G42" s="17">
        <f>IFERROR(__xludf.DUMMYFUNCTION("""COMPUTED_VALUE"""),7968.37)</f>
        <v>7968.37</v>
      </c>
      <c r="H42" s="17">
        <f>IFERROR(__xludf.DUMMYFUNCTION("""COMPUTED_VALUE"""),47810.2)</f>
        <v>47810.2</v>
      </c>
    </row>
    <row r="43">
      <c r="A43" s="18" t="str">
        <f>IFERROR(__xludf.DUMMYFUNCTION("""COMPUTED_VALUE"""),"DATCU")</f>
        <v>DATCU</v>
      </c>
      <c r="B43" s="16">
        <f>IFERROR(__xludf.DUMMYFUNCTION("""COMPUTED_VALUE"""),6.0)</f>
        <v>6</v>
      </c>
      <c r="C43" s="17">
        <f>IFERROR(__xludf.DUMMYFUNCTION("""COMPUTED_VALUE"""),2269.4)</f>
        <v>2269.4</v>
      </c>
      <c r="D43" s="17">
        <f>IFERROR(__xludf.DUMMYFUNCTION("""COMPUTED_VALUE"""),13616.42)</f>
        <v>13616.42</v>
      </c>
      <c r="E43" s="17">
        <f>IFERROR(__xludf.DUMMYFUNCTION("""COMPUTED_VALUE"""),1841.91)</f>
        <v>1841.91</v>
      </c>
      <c r="F43" s="17">
        <f>IFERROR(__xludf.DUMMYFUNCTION("""COMPUTED_VALUE"""),11051.46)</f>
        <v>11051.46</v>
      </c>
      <c r="G43" s="17">
        <f>IFERROR(__xludf.DUMMYFUNCTION("""COMPUTED_VALUE"""),4111.31)</f>
        <v>4111.31</v>
      </c>
      <c r="H43" s="17">
        <f>IFERROR(__xludf.DUMMYFUNCTION("""COMPUTED_VALUE"""),24667.88)</f>
        <v>24667.88</v>
      </c>
    </row>
    <row r="44">
      <c r="A44" s="18" t="str">
        <f>IFERROR(__xludf.DUMMYFUNCTION("""COMPUTED_VALUE"""),"INDEPENDENT BANK")</f>
        <v>INDEPENDENT BANK</v>
      </c>
      <c r="B44" s="16">
        <f>IFERROR(__xludf.DUMMYFUNCTION("""COMPUTED_VALUE"""),5.0)</f>
        <v>5</v>
      </c>
      <c r="C44" s="17">
        <f>IFERROR(__xludf.DUMMYFUNCTION("""COMPUTED_VALUE"""),207.97)</f>
        <v>207.97</v>
      </c>
      <c r="D44" s="17">
        <f>IFERROR(__xludf.DUMMYFUNCTION("""COMPUTED_VALUE"""),1039.86)</f>
        <v>1039.86</v>
      </c>
      <c r="E44" s="17">
        <f>IFERROR(__xludf.DUMMYFUNCTION("""COMPUTED_VALUE"""),2280.56)</f>
        <v>2280.56</v>
      </c>
      <c r="F44" s="17">
        <f>IFERROR(__xludf.DUMMYFUNCTION("""COMPUTED_VALUE"""),11402.79)</f>
        <v>11402.79</v>
      </c>
      <c r="G44" s="17">
        <f>IFERROR(__xludf.DUMMYFUNCTION("""COMPUTED_VALUE"""),2488.53)</f>
        <v>2488.53</v>
      </c>
      <c r="H44" s="17">
        <f>IFERROR(__xludf.DUMMYFUNCTION("""COMPUTED_VALUE"""),12442.65)</f>
        <v>12442.65</v>
      </c>
    </row>
    <row r="45">
      <c r="A45" s="18" t="str">
        <f>IFERROR(__xludf.DUMMYFUNCTION("""COMPUTED_VALUE"""),"FOURSIGHT CAPITAL ")</f>
        <v>FOURSIGHT CAPITAL </v>
      </c>
      <c r="B45" s="16">
        <f>IFERROR(__xludf.DUMMYFUNCTION("""COMPUTED_VALUE"""),5.0)</f>
        <v>5</v>
      </c>
      <c r="C45" s="17">
        <f>IFERROR(__xludf.DUMMYFUNCTION("""COMPUTED_VALUE"""),2526.2375)</f>
        <v>2526.2375</v>
      </c>
      <c r="D45" s="17">
        <f>IFERROR(__xludf.DUMMYFUNCTION("""COMPUTED_VALUE"""),18568.78)</f>
        <v>18568.78</v>
      </c>
      <c r="E45" s="17">
        <f>IFERROR(__xludf.DUMMYFUNCTION("""COMPUTED_VALUE"""),3060.4649999999997)</f>
        <v>3060.465</v>
      </c>
      <c r="F45" s="17">
        <f>IFERROR(__xludf.DUMMYFUNCTION("""COMPUTED_VALUE"""),16137.13)</f>
        <v>16137.13</v>
      </c>
      <c r="G45" s="17">
        <f>IFERROR(__xludf.DUMMYFUNCTION("""COMPUTED_VALUE"""),5586.7025)</f>
        <v>5586.7025</v>
      </c>
      <c r="H45" s="17">
        <f>IFERROR(__xludf.DUMMYFUNCTION("""COMPUTED_VALUE"""),34705.91)</f>
        <v>34705.91</v>
      </c>
    </row>
    <row r="46">
      <c r="A46" s="18" t="str">
        <f>IFERROR(__xludf.DUMMYFUNCTION("""COMPUTED_VALUE"""),"FIRST HELP FINANCIAL")</f>
        <v>FIRST HELP FINANCIAL</v>
      </c>
      <c r="B46" s="16">
        <f>IFERROR(__xludf.DUMMYFUNCTION("""COMPUTED_VALUE"""),5.0)</f>
        <v>5</v>
      </c>
      <c r="C46" s="17">
        <f>IFERROR(__xludf.DUMMYFUNCTION("""COMPUTED_VALUE"""),682.7099999999999)</f>
        <v>682.71</v>
      </c>
      <c r="D46" s="17">
        <f>IFERROR(__xludf.DUMMYFUNCTION("""COMPUTED_VALUE"""),5318.469999999999)</f>
        <v>5318.47</v>
      </c>
      <c r="E46" s="17">
        <f>IFERROR(__xludf.DUMMYFUNCTION("""COMPUTED_VALUE"""),4105.915)</f>
        <v>4105.915</v>
      </c>
      <c r="F46" s="17">
        <f>IFERROR(__xludf.DUMMYFUNCTION("""COMPUTED_VALUE"""),19218.0)</f>
        <v>19218</v>
      </c>
      <c r="G46" s="17">
        <f>IFERROR(__xludf.DUMMYFUNCTION("""COMPUTED_VALUE"""),4788.63)</f>
        <v>4788.63</v>
      </c>
      <c r="H46" s="17">
        <f>IFERROR(__xludf.DUMMYFUNCTION("""COMPUTED_VALUE"""),24536.47)</f>
        <v>24536.47</v>
      </c>
    </row>
    <row r="47">
      <c r="A47" s="18" t="str">
        <f>IFERROR(__xludf.DUMMYFUNCTION("""COMPUTED_VALUE"""),"CITY BANK")</f>
        <v>CITY BANK</v>
      </c>
      <c r="B47" s="16">
        <f>IFERROR(__xludf.DUMMYFUNCTION("""COMPUTED_VALUE"""),5.0)</f>
        <v>5</v>
      </c>
      <c r="C47" s="17">
        <f>IFERROR(__xludf.DUMMYFUNCTION("""COMPUTED_VALUE"""),270.2)</f>
        <v>270.2</v>
      </c>
      <c r="D47" s="17">
        <f>IFERROR(__xludf.DUMMYFUNCTION("""COMPUTED_VALUE"""),1350.98)</f>
        <v>1350.98</v>
      </c>
      <c r="E47" s="17">
        <f>IFERROR(__xludf.DUMMYFUNCTION("""COMPUTED_VALUE"""),1823.37)</f>
        <v>1823.37</v>
      </c>
      <c r="F47" s="17">
        <f>IFERROR(__xludf.DUMMYFUNCTION("""COMPUTED_VALUE"""),9116.86)</f>
        <v>9116.86</v>
      </c>
      <c r="G47" s="17">
        <f>IFERROR(__xludf.DUMMYFUNCTION("""COMPUTED_VALUE"""),2093.57)</f>
        <v>2093.57</v>
      </c>
      <c r="H47" s="17">
        <f>IFERROR(__xludf.DUMMYFUNCTION("""COMPUTED_VALUE"""),10467.84)</f>
        <v>10467.84</v>
      </c>
    </row>
    <row r="48">
      <c r="A48" s="18" t="str">
        <f>IFERROR(__xludf.DUMMYFUNCTION("""COMPUTED_VALUE"""),"CAL-COM FCU")</f>
        <v>CAL-COM FCU</v>
      </c>
      <c r="B48" s="16">
        <f>IFERROR(__xludf.DUMMYFUNCTION("""COMPUTED_VALUE"""),5.0)</f>
        <v>5</v>
      </c>
      <c r="C48" s="17">
        <f>IFERROR(__xludf.DUMMYFUNCTION("""COMPUTED_VALUE"""),1273.56)</f>
        <v>1273.56</v>
      </c>
      <c r="D48" s="17">
        <f>IFERROR(__xludf.DUMMYFUNCTION("""COMPUTED_VALUE"""),6367.78)</f>
        <v>6367.78</v>
      </c>
      <c r="E48" s="17">
        <f>IFERROR(__xludf.DUMMYFUNCTION("""COMPUTED_VALUE"""),3753.67)</f>
        <v>3753.67</v>
      </c>
      <c r="F48" s="17">
        <f>IFERROR(__xludf.DUMMYFUNCTION("""COMPUTED_VALUE"""),18768.37)</f>
        <v>18768.37</v>
      </c>
      <c r="G48" s="17">
        <f>IFERROR(__xludf.DUMMYFUNCTION("""COMPUTED_VALUE"""),5027.23)</f>
        <v>5027.23</v>
      </c>
      <c r="H48" s="17">
        <f>IFERROR(__xludf.DUMMYFUNCTION("""COMPUTED_VALUE"""),25136.15)</f>
        <v>25136.15</v>
      </c>
    </row>
    <row r="49">
      <c r="A49" s="18" t="str">
        <f>IFERROR(__xludf.DUMMYFUNCTION("""COMPUTED_VALUE"""),"AUSTIN BANK TEXAS ")</f>
        <v>AUSTIN BANK TEXAS </v>
      </c>
      <c r="B49" s="16">
        <f>IFERROR(__xludf.DUMMYFUNCTION("""COMPUTED_VALUE"""),5.0)</f>
        <v>5</v>
      </c>
      <c r="C49" s="17">
        <f>IFERROR(__xludf.DUMMYFUNCTION("""COMPUTED_VALUE"""),349.665)</f>
        <v>349.665</v>
      </c>
      <c r="D49" s="17">
        <f>IFERROR(__xludf.DUMMYFUNCTION("""COMPUTED_VALUE"""),2260.77)</f>
        <v>2260.77</v>
      </c>
      <c r="E49" s="17">
        <f>IFERROR(__xludf.DUMMYFUNCTION("""COMPUTED_VALUE"""),1411.8049999999998)</f>
        <v>1411.805</v>
      </c>
      <c r="F49" s="17">
        <f>IFERROR(__xludf.DUMMYFUNCTION("""COMPUTED_VALUE"""),7889.42)</f>
        <v>7889.42</v>
      </c>
      <c r="G49" s="17">
        <f>IFERROR(__xludf.DUMMYFUNCTION("""COMPUTED_VALUE"""),1761.47)</f>
        <v>1761.47</v>
      </c>
      <c r="H49" s="17">
        <f>IFERROR(__xludf.DUMMYFUNCTION("""COMPUTED_VALUE"""),10150.19)</f>
        <v>10150.19</v>
      </c>
    </row>
    <row r="50">
      <c r="A50" s="18" t="str">
        <f>IFERROR(__xludf.DUMMYFUNCTION("""COMPUTED_VALUE"""),"MEMBERS CHOICE OF CENTRAL TX FCU")</f>
        <v>MEMBERS CHOICE OF CENTRAL TX FCU</v>
      </c>
      <c r="B50" s="16">
        <f>IFERROR(__xludf.DUMMYFUNCTION("""COMPUTED_VALUE"""),4.0)</f>
        <v>4</v>
      </c>
      <c r="C50" s="17">
        <f>IFERROR(__xludf.DUMMYFUNCTION("""COMPUTED_VALUE"""),809.22)</f>
        <v>809.22</v>
      </c>
      <c r="D50" s="17">
        <f>IFERROR(__xludf.DUMMYFUNCTION("""COMPUTED_VALUE"""),3236.88)</f>
        <v>3236.88</v>
      </c>
      <c r="E50" s="17">
        <f>IFERROR(__xludf.DUMMYFUNCTION("""COMPUTED_VALUE"""),3331.37)</f>
        <v>3331.37</v>
      </c>
      <c r="F50" s="17">
        <f>IFERROR(__xludf.DUMMYFUNCTION("""COMPUTED_VALUE"""),13325.47)</f>
        <v>13325.47</v>
      </c>
      <c r="G50" s="17">
        <f>IFERROR(__xludf.DUMMYFUNCTION("""COMPUTED_VALUE"""),4140.59)</f>
        <v>4140.59</v>
      </c>
      <c r="H50" s="17">
        <f>IFERROR(__xludf.DUMMYFUNCTION("""COMPUTED_VALUE"""),16562.35)</f>
        <v>16562.35</v>
      </c>
    </row>
    <row r="51">
      <c r="A51" s="18" t="str">
        <f>IFERROR(__xludf.DUMMYFUNCTION("""COMPUTED_VALUE"""),"CINCH AUTO FINANCE")</f>
        <v>CINCH AUTO FINANCE</v>
      </c>
      <c r="B51" s="16">
        <f>IFERROR(__xludf.DUMMYFUNCTION("""COMPUTED_VALUE"""),4.0)</f>
        <v>4</v>
      </c>
      <c r="C51" s="17">
        <f>IFERROR(__xludf.DUMMYFUNCTION("""COMPUTED_VALUE"""),249.89500000000004)</f>
        <v>249.895</v>
      </c>
      <c r="D51" s="17">
        <f>IFERROR(__xludf.DUMMYFUNCTION("""COMPUTED_VALUE"""),-1371.38)</f>
        <v>-1371.38</v>
      </c>
      <c r="E51" s="17">
        <f>IFERROR(__xludf.DUMMYFUNCTION("""COMPUTED_VALUE"""),2352.15)</f>
        <v>2352.15</v>
      </c>
      <c r="F51" s="17">
        <f>IFERROR(__xludf.DUMMYFUNCTION("""COMPUTED_VALUE"""),12461.39)</f>
        <v>12461.39</v>
      </c>
      <c r="G51" s="17">
        <f>IFERROR(__xludf.DUMMYFUNCTION("""COMPUTED_VALUE"""),2602.045)</f>
        <v>2602.045</v>
      </c>
      <c r="H51" s="17">
        <f>IFERROR(__xludf.DUMMYFUNCTION("""COMPUTED_VALUE"""),11090.009999999998)</f>
        <v>11090.01</v>
      </c>
    </row>
    <row r="52">
      <c r="A52" s="18" t="str">
        <f>IFERROR(__xludf.DUMMYFUNCTION("""COMPUTED_VALUE"""),"BANK OF AMERICA")</f>
        <v>BANK OF AMERICA</v>
      </c>
      <c r="B52" s="16">
        <f>IFERROR(__xludf.DUMMYFUNCTION("""COMPUTED_VALUE"""),4.0)</f>
        <v>4</v>
      </c>
      <c r="C52" s="17">
        <f>IFERROR(__xludf.DUMMYFUNCTION("""COMPUTED_VALUE"""),369.10999999999996)</f>
        <v>369.11</v>
      </c>
      <c r="D52" s="17">
        <f>IFERROR(__xludf.DUMMYFUNCTION("""COMPUTED_VALUE"""),2984.89)</f>
        <v>2984.89</v>
      </c>
      <c r="E52" s="17">
        <f>IFERROR(__xludf.DUMMYFUNCTION("""COMPUTED_VALUE"""),3249.57)</f>
        <v>3249.57</v>
      </c>
      <c r="F52" s="17">
        <f>IFERROR(__xludf.DUMMYFUNCTION("""COMPUTED_VALUE"""),18497.719999999998)</f>
        <v>18497.72</v>
      </c>
      <c r="G52" s="17">
        <f>IFERROR(__xludf.DUMMYFUNCTION("""COMPUTED_VALUE"""),3618.68)</f>
        <v>3618.68</v>
      </c>
      <c r="H52" s="17">
        <f>IFERROR(__xludf.DUMMYFUNCTION("""COMPUTED_VALUE"""),21482.61)</f>
        <v>21482.61</v>
      </c>
    </row>
    <row r="53">
      <c r="A53" s="18" t="str">
        <f>IFERROR(__xludf.DUMMYFUNCTION("""COMPUTED_VALUE"""),"US EMPLOYEES OC FCU")</f>
        <v>US EMPLOYEES OC FCU</v>
      </c>
      <c r="B53" s="16">
        <f>IFERROR(__xludf.DUMMYFUNCTION("""COMPUTED_VALUE"""),3.0)</f>
        <v>3</v>
      </c>
      <c r="C53" s="17">
        <f>IFERROR(__xludf.DUMMYFUNCTION("""COMPUTED_VALUE"""),822.3)</f>
        <v>822.3</v>
      </c>
      <c r="D53" s="17">
        <f>IFERROR(__xludf.DUMMYFUNCTION("""COMPUTED_VALUE"""),2466.89)</f>
        <v>2466.89</v>
      </c>
      <c r="E53" s="17">
        <f>IFERROR(__xludf.DUMMYFUNCTION("""COMPUTED_VALUE"""),2563.57)</f>
        <v>2563.57</v>
      </c>
      <c r="F53" s="17">
        <f>IFERROR(__xludf.DUMMYFUNCTION("""COMPUTED_VALUE"""),7690.7)</f>
        <v>7690.7</v>
      </c>
      <c r="G53" s="17">
        <f>IFERROR(__xludf.DUMMYFUNCTION("""COMPUTED_VALUE"""),3385.86)</f>
        <v>3385.86</v>
      </c>
      <c r="H53" s="17">
        <f>IFERROR(__xludf.DUMMYFUNCTION("""COMPUTED_VALUE"""),10157.59)</f>
        <v>10157.59</v>
      </c>
    </row>
    <row r="54">
      <c r="A54" s="18" t="str">
        <f>IFERROR(__xludf.DUMMYFUNCTION("""COMPUTED_VALUE"""),"UNION SQUARE CU")</f>
        <v>UNION SQUARE CU</v>
      </c>
      <c r="B54" s="16">
        <f>IFERROR(__xludf.DUMMYFUNCTION("""COMPUTED_VALUE"""),3.0)</f>
        <v>3</v>
      </c>
      <c r="C54" s="17">
        <f>IFERROR(__xludf.DUMMYFUNCTION("""COMPUTED_VALUE"""),2234.25)</f>
        <v>2234.25</v>
      </c>
      <c r="D54" s="17">
        <f>IFERROR(__xludf.DUMMYFUNCTION("""COMPUTED_VALUE"""),6702.76)</f>
        <v>6702.76</v>
      </c>
      <c r="E54" s="17">
        <f>IFERROR(__xludf.DUMMYFUNCTION("""COMPUTED_VALUE"""),3201.37)</f>
        <v>3201.37</v>
      </c>
      <c r="F54" s="17">
        <f>IFERROR(__xludf.DUMMYFUNCTION("""COMPUTED_VALUE"""),9604.11)</f>
        <v>9604.11</v>
      </c>
      <c r="G54" s="17">
        <f>IFERROR(__xludf.DUMMYFUNCTION("""COMPUTED_VALUE"""),5435.62)</f>
        <v>5435.62</v>
      </c>
      <c r="H54" s="17">
        <f>IFERROR(__xludf.DUMMYFUNCTION("""COMPUTED_VALUE"""),16306.87)</f>
        <v>16306.87</v>
      </c>
    </row>
    <row r="55">
      <c r="A55" s="18" t="str">
        <f>IFERROR(__xludf.DUMMYFUNCTION("""COMPUTED_VALUE"""),"TULSA TEACHERS FCU")</f>
        <v>TULSA TEACHERS FCU</v>
      </c>
      <c r="B55" s="16">
        <f>IFERROR(__xludf.DUMMYFUNCTION("""COMPUTED_VALUE"""),3.0)</f>
        <v>3</v>
      </c>
      <c r="C55" s="17">
        <f>IFERROR(__xludf.DUMMYFUNCTION("""COMPUTED_VALUE"""),-686.27)</f>
        <v>-686.27</v>
      </c>
      <c r="D55" s="17">
        <f>IFERROR(__xludf.DUMMYFUNCTION("""COMPUTED_VALUE"""),-2058.81)</f>
        <v>-2058.81</v>
      </c>
      <c r="E55" s="17">
        <f>IFERROR(__xludf.DUMMYFUNCTION("""COMPUTED_VALUE"""),1297.87)</f>
        <v>1297.87</v>
      </c>
      <c r="F55" s="17">
        <f>IFERROR(__xludf.DUMMYFUNCTION("""COMPUTED_VALUE"""),3893.6)</f>
        <v>3893.6</v>
      </c>
      <c r="G55" s="17">
        <f>IFERROR(__xludf.DUMMYFUNCTION("""COMPUTED_VALUE"""),611.6)</f>
        <v>611.6</v>
      </c>
      <c r="H55" s="17">
        <f>IFERROR(__xludf.DUMMYFUNCTION("""COMPUTED_VALUE"""),1834.79)</f>
        <v>1834.79</v>
      </c>
    </row>
    <row r="56">
      <c r="A56" s="18" t="str">
        <f>IFERROR(__xludf.DUMMYFUNCTION("""COMPUTED_VALUE"""),"RANDOLPH-BROOKS FCU")</f>
        <v>RANDOLPH-BROOKS FCU</v>
      </c>
      <c r="B56" s="16">
        <f>IFERROR(__xludf.DUMMYFUNCTION("""COMPUTED_VALUE"""),3.0)</f>
        <v>3</v>
      </c>
      <c r="C56" s="17">
        <f>IFERROR(__xludf.DUMMYFUNCTION("""COMPUTED_VALUE"""),6831.15)</f>
        <v>6831.15</v>
      </c>
      <c r="D56" s="17">
        <f>IFERROR(__xludf.DUMMYFUNCTION("""COMPUTED_VALUE"""),20493.44)</f>
        <v>20493.44</v>
      </c>
      <c r="E56" s="17">
        <f>IFERROR(__xludf.DUMMYFUNCTION("""COMPUTED_VALUE"""),3507.78)</f>
        <v>3507.78</v>
      </c>
      <c r="F56" s="17">
        <f>IFERROR(__xludf.DUMMYFUNCTION("""COMPUTED_VALUE"""),10523.33)</f>
        <v>10523.33</v>
      </c>
      <c r="G56" s="17">
        <f>IFERROR(__xludf.DUMMYFUNCTION("""COMPUTED_VALUE"""),10338.92)</f>
        <v>10338.92</v>
      </c>
      <c r="H56" s="17">
        <f>IFERROR(__xludf.DUMMYFUNCTION("""COMPUTED_VALUE"""),31016.77)</f>
        <v>31016.77</v>
      </c>
    </row>
    <row r="57">
      <c r="A57" s="18" t="str">
        <f>IFERROR(__xludf.DUMMYFUNCTION("""COMPUTED_VALUE"""),"FLAGSHIP CREDIT ACCEPTANCE")</f>
        <v>FLAGSHIP CREDIT ACCEPTANCE</v>
      </c>
      <c r="B57" s="16">
        <f>IFERROR(__xludf.DUMMYFUNCTION("""COMPUTED_VALUE"""),3.0)</f>
        <v>3</v>
      </c>
      <c r="C57" s="17">
        <f>IFERROR(__xludf.DUMMYFUNCTION("""COMPUTED_VALUE"""),576.1866666666666)</f>
        <v>576.1866667</v>
      </c>
      <c r="D57" s="17">
        <f>IFERROR(__xludf.DUMMYFUNCTION("""COMPUTED_VALUE"""),1728.56)</f>
        <v>1728.56</v>
      </c>
      <c r="E57" s="17">
        <f>IFERROR(__xludf.DUMMYFUNCTION("""COMPUTED_VALUE"""),1123.8733333333332)</f>
        <v>1123.873333</v>
      </c>
      <c r="F57" s="17">
        <f>IFERROR(__xludf.DUMMYFUNCTION("""COMPUTED_VALUE"""),3371.62)</f>
        <v>3371.62</v>
      </c>
      <c r="G57" s="17">
        <f>IFERROR(__xludf.DUMMYFUNCTION("""COMPUTED_VALUE"""),1700.0599999999997)</f>
        <v>1700.06</v>
      </c>
      <c r="H57" s="17">
        <f>IFERROR(__xludf.DUMMYFUNCTION("""COMPUTED_VALUE"""),5100.179999999999)</f>
        <v>5100.18</v>
      </c>
    </row>
    <row r="58">
      <c r="A58" s="18" t="str">
        <f>IFERROR(__xludf.DUMMYFUNCTION("""COMPUTED_VALUE"""),"EAST TEXAS PROFESSIONAL CU")</f>
        <v>EAST TEXAS PROFESSIONAL CU</v>
      </c>
      <c r="B58" s="16">
        <f>IFERROR(__xludf.DUMMYFUNCTION("""COMPUTED_VALUE"""),3.0)</f>
        <v>3</v>
      </c>
      <c r="C58" s="17">
        <f>IFERROR(__xludf.DUMMYFUNCTION("""COMPUTED_VALUE"""),-1068.74)</f>
        <v>-1068.74</v>
      </c>
      <c r="D58" s="17">
        <f>IFERROR(__xludf.DUMMYFUNCTION("""COMPUTED_VALUE"""),-3206.23)</f>
        <v>-3206.23</v>
      </c>
      <c r="E58" s="17">
        <f>IFERROR(__xludf.DUMMYFUNCTION("""COMPUTED_VALUE"""),1291.96)</f>
        <v>1291.96</v>
      </c>
      <c r="F58" s="17">
        <f>IFERROR(__xludf.DUMMYFUNCTION("""COMPUTED_VALUE"""),3875.87)</f>
        <v>3875.87</v>
      </c>
      <c r="G58" s="17">
        <f>IFERROR(__xludf.DUMMYFUNCTION("""COMPUTED_VALUE"""),223.21)</f>
        <v>223.21</v>
      </c>
      <c r="H58" s="17">
        <f>IFERROR(__xludf.DUMMYFUNCTION("""COMPUTED_VALUE"""),669.64)</f>
        <v>669.64</v>
      </c>
    </row>
    <row r="59">
      <c r="A59" s="18" t="str">
        <f>IFERROR(__xludf.DUMMYFUNCTION("""COMPUTED_VALUE"""),"TEXOMA COMMUNITY CU")</f>
        <v>TEXOMA COMMUNITY CU</v>
      </c>
      <c r="B59" s="16">
        <f>IFERROR(__xludf.DUMMYFUNCTION("""COMPUTED_VALUE"""),2.0)</f>
        <v>2</v>
      </c>
      <c r="C59" s="17">
        <f>IFERROR(__xludf.DUMMYFUNCTION("""COMPUTED_VALUE"""),1611.71)</f>
        <v>1611.71</v>
      </c>
      <c r="D59" s="17">
        <f>IFERROR(__xludf.DUMMYFUNCTION("""COMPUTED_VALUE"""),3223.42)</f>
        <v>3223.42</v>
      </c>
      <c r="E59" s="17">
        <f>IFERROR(__xludf.DUMMYFUNCTION("""COMPUTED_VALUE"""),2035.38)</f>
        <v>2035.38</v>
      </c>
      <c r="F59" s="17">
        <f>IFERROR(__xludf.DUMMYFUNCTION("""COMPUTED_VALUE"""),4070.75)</f>
        <v>4070.75</v>
      </c>
      <c r="G59" s="17">
        <f>IFERROR(__xludf.DUMMYFUNCTION("""COMPUTED_VALUE"""),3647.09)</f>
        <v>3647.09</v>
      </c>
      <c r="H59" s="17">
        <f>IFERROR(__xludf.DUMMYFUNCTION("""COMPUTED_VALUE"""),7294.17)</f>
        <v>7294.17</v>
      </c>
    </row>
    <row r="60">
      <c r="A60" s="18" t="str">
        <f>IFERROR(__xludf.DUMMYFUNCTION("""COMPUTED_VALUE"""),"TEXAS DOW EMPLOYEES CU")</f>
        <v>TEXAS DOW EMPLOYEES CU</v>
      </c>
      <c r="B60" s="16">
        <f>IFERROR(__xludf.DUMMYFUNCTION("""COMPUTED_VALUE"""),2.0)</f>
        <v>2</v>
      </c>
      <c r="C60" s="17">
        <f>IFERROR(__xludf.DUMMYFUNCTION("""COMPUTED_VALUE"""),-87.68)</f>
        <v>-87.68</v>
      </c>
      <c r="D60" s="17">
        <f>IFERROR(__xludf.DUMMYFUNCTION("""COMPUTED_VALUE"""),-175.36)</f>
        <v>-175.36</v>
      </c>
      <c r="E60" s="17">
        <f>IFERROR(__xludf.DUMMYFUNCTION("""COMPUTED_VALUE"""),4661.11)</f>
        <v>4661.11</v>
      </c>
      <c r="F60" s="17">
        <f>IFERROR(__xludf.DUMMYFUNCTION("""COMPUTED_VALUE"""),9322.22)</f>
        <v>9322.22</v>
      </c>
      <c r="G60" s="17">
        <f>IFERROR(__xludf.DUMMYFUNCTION("""COMPUTED_VALUE"""),4573.43)</f>
        <v>4573.43</v>
      </c>
      <c r="H60" s="17">
        <f>IFERROR(__xludf.DUMMYFUNCTION("""COMPUTED_VALUE"""),9146.86)</f>
        <v>9146.86</v>
      </c>
    </row>
    <row r="61">
      <c r="A61" s="18" t="str">
        <f>IFERROR(__xludf.DUMMYFUNCTION("""COMPUTED_VALUE"""),"TEXAS BANK AND TRUST COMPANY")</f>
        <v>TEXAS BANK AND TRUST COMPANY</v>
      </c>
      <c r="B61" s="16">
        <f>IFERROR(__xludf.DUMMYFUNCTION("""COMPUTED_VALUE"""),2.0)</f>
        <v>2</v>
      </c>
      <c r="C61" s="17">
        <f>IFERROR(__xludf.DUMMYFUNCTION("""COMPUTED_VALUE"""),-197.13)</f>
        <v>-197.13</v>
      </c>
      <c r="D61" s="17">
        <f>IFERROR(__xludf.DUMMYFUNCTION("""COMPUTED_VALUE"""),-394.26)</f>
        <v>-394.26</v>
      </c>
      <c r="E61" s="17">
        <f>IFERROR(__xludf.DUMMYFUNCTION("""COMPUTED_VALUE"""),-37.5)</f>
        <v>-37.5</v>
      </c>
      <c r="F61" s="17">
        <f>IFERROR(__xludf.DUMMYFUNCTION("""COMPUTED_VALUE"""),-75.0)</f>
        <v>-75</v>
      </c>
      <c r="G61" s="17">
        <f>IFERROR(__xludf.DUMMYFUNCTION("""COMPUTED_VALUE"""),-234.63)</f>
        <v>-234.63</v>
      </c>
      <c r="H61" s="17">
        <f>IFERROR(__xludf.DUMMYFUNCTION("""COMPUTED_VALUE"""),-469.26)</f>
        <v>-469.26</v>
      </c>
    </row>
    <row r="62">
      <c r="A62" s="18" t="str">
        <f>IFERROR(__xludf.DUMMYFUNCTION("""COMPUTED_VALUE"""),"SAFCO")</f>
        <v>SAFCO</v>
      </c>
      <c r="B62" s="16">
        <f>IFERROR(__xludf.DUMMYFUNCTION("""COMPUTED_VALUE"""),2.0)</f>
        <v>2</v>
      </c>
      <c r="C62" s="17">
        <f>IFERROR(__xludf.DUMMYFUNCTION("""COMPUTED_VALUE"""),-2175.12)</f>
        <v>-2175.12</v>
      </c>
      <c r="D62" s="17">
        <f>IFERROR(__xludf.DUMMYFUNCTION("""COMPUTED_VALUE"""),-4350.23)</f>
        <v>-4350.23</v>
      </c>
      <c r="E62" s="17">
        <f>IFERROR(__xludf.DUMMYFUNCTION("""COMPUTED_VALUE"""),2709.0)</f>
        <v>2709</v>
      </c>
      <c r="F62" s="17">
        <f>IFERROR(__xludf.DUMMYFUNCTION("""COMPUTED_VALUE"""),5418.0)</f>
        <v>5418</v>
      </c>
      <c r="G62" s="17">
        <f>IFERROR(__xludf.DUMMYFUNCTION("""COMPUTED_VALUE"""),533.89)</f>
        <v>533.89</v>
      </c>
      <c r="H62" s="17">
        <f>IFERROR(__xludf.DUMMYFUNCTION("""COMPUTED_VALUE"""),1067.77)</f>
        <v>1067.77</v>
      </c>
    </row>
    <row r="63">
      <c r="A63" s="18" t="str">
        <f>IFERROR(__xludf.DUMMYFUNCTION("""COMPUTED_VALUE"""),"ARIVO ACCEPTANCE")</f>
        <v>ARIVO ACCEPTANCE</v>
      </c>
      <c r="B63" s="16">
        <f>IFERROR(__xludf.DUMMYFUNCTION("""COMPUTED_VALUE"""),2.0)</f>
        <v>2</v>
      </c>
      <c r="C63" s="17">
        <f>IFERROR(__xludf.DUMMYFUNCTION("""COMPUTED_VALUE"""),1924.39)</f>
        <v>1924.39</v>
      </c>
      <c r="D63" s="17">
        <f>IFERROR(__xludf.DUMMYFUNCTION("""COMPUTED_VALUE"""),3848.78)</f>
        <v>3848.78</v>
      </c>
      <c r="E63" s="17">
        <f>IFERROR(__xludf.DUMMYFUNCTION("""COMPUTED_VALUE"""),585.5)</f>
        <v>585.5</v>
      </c>
      <c r="F63" s="17">
        <f>IFERROR(__xludf.DUMMYFUNCTION("""COMPUTED_VALUE"""),1171.0)</f>
        <v>1171</v>
      </c>
      <c r="G63" s="17">
        <f>IFERROR(__xludf.DUMMYFUNCTION("""COMPUTED_VALUE"""),2509.89)</f>
        <v>2509.89</v>
      </c>
      <c r="H63" s="17">
        <f>IFERROR(__xludf.DUMMYFUNCTION("""COMPUTED_VALUE"""),5019.78)</f>
        <v>5019.78</v>
      </c>
    </row>
    <row r="64">
      <c r="A64" s="18" t="str">
        <f>IFERROR(__xludf.DUMMYFUNCTION("""COMPUTED_VALUE"""),"ADVANCIAL FCU")</f>
        <v>ADVANCIAL FCU</v>
      </c>
      <c r="B64" s="16">
        <f>IFERROR(__xludf.DUMMYFUNCTION("""COMPUTED_VALUE"""),2.0)</f>
        <v>2</v>
      </c>
      <c r="C64" s="17">
        <f>IFERROR(__xludf.DUMMYFUNCTION("""COMPUTED_VALUE"""),1399.97)</f>
        <v>1399.97</v>
      </c>
      <c r="D64" s="17">
        <f>IFERROR(__xludf.DUMMYFUNCTION("""COMPUTED_VALUE"""),2799.93)</f>
        <v>2799.93</v>
      </c>
      <c r="E64" s="17">
        <f>IFERROR(__xludf.DUMMYFUNCTION("""COMPUTED_VALUE"""),858.07)</f>
        <v>858.07</v>
      </c>
      <c r="F64" s="17">
        <f>IFERROR(__xludf.DUMMYFUNCTION("""COMPUTED_VALUE"""),1716.13)</f>
        <v>1716.13</v>
      </c>
      <c r="G64" s="17">
        <f>IFERROR(__xludf.DUMMYFUNCTION("""COMPUTED_VALUE"""),2258.03)</f>
        <v>2258.03</v>
      </c>
      <c r="H64" s="17">
        <f>IFERROR(__xludf.DUMMYFUNCTION("""COMPUTED_VALUE"""),4516.06)</f>
        <v>4516.06</v>
      </c>
    </row>
    <row r="65">
      <c r="A65" s="18" t="str">
        <f>IFERROR(__xludf.DUMMYFUNCTION("""COMPUTED_VALUE"""),"WHITE EAGLE CU")</f>
        <v>WHITE EAGLE CU</v>
      </c>
      <c r="B65" s="16">
        <f>IFERROR(__xludf.DUMMYFUNCTION("""COMPUTED_VALUE"""),1.0)</f>
        <v>1</v>
      </c>
      <c r="C65" s="17">
        <f>IFERROR(__xludf.DUMMYFUNCTION("""COMPUTED_VALUE"""),185.93)</f>
        <v>185.93</v>
      </c>
      <c r="D65" s="17">
        <f>IFERROR(__xludf.DUMMYFUNCTION("""COMPUTED_VALUE"""),185.93)</f>
        <v>185.93</v>
      </c>
      <c r="E65" s="17">
        <f>IFERROR(__xludf.DUMMYFUNCTION("""COMPUTED_VALUE"""),676.03)</f>
        <v>676.03</v>
      </c>
      <c r="F65" s="17">
        <f>IFERROR(__xludf.DUMMYFUNCTION("""COMPUTED_VALUE"""),676.03)</f>
        <v>676.03</v>
      </c>
      <c r="G65" s="17">
        <f>IFERROR(__xludf.DUMMYFUNCTION("""COMPUTED_VALUE"""),861.96)</f>
        <v>861.96</v>
      </c>
      <c r="H65" s="17">
        <f>IFERROR(__xludf.DUMMYFUNCTION("""COMPUTED_VALUE"""),861.96)</f>
        <v>861.96</v>
      </c>
    </row>
    <row r="66">
      <c r="A66" s="18" t="str">
        <f>IFERROR(__xludf.DUMMYFUNCTION("""COMPUTED_VALUE"""),"SOUTHWEST NATIONAL BANK")</f>
        <v>SOUTHWEST NATIONAL BANK</v>
      </c>
      <c r="B66" s="16">
        <f>IFERROR(__xludf.DUMMYFUNCTION("""COMPUTED_VALUE"""),1.0)</f>
        <v>1</v>
      </c>
      <c r="C66" s="17">
        <f>IFERROR(__xludf.DUMMYFUNCTION("""COMPUTED_VALUE"""),1021.25)</f>
        <v>1021.25</v>
      </c>
      <c r="D66" s="17">
        <f>IFERROR(__xludf.DUMMYFUNCTION("""COMPUTED_VALUE"""),1021.25)</f>
        <v>1021.25</v>
      </c>
      <c r="E66" s="17">
        <f>IFERROR(__xludf.DUMMYFUNCTION("""COMPUTED_VALUE"""),5513.92)</f>
        <v>5513.92</v>
      </c>
      <c r="F66" s="17">
        <f>IFERROR(__xludf.DUMMYFUNCTION("""COMPUTED_VALUE"""),5513.92)</f>
        <v>5513.92</v>
      </c>
      <c r="G66" s="17">
        <f>IFERROR(__xludf.DUMMYFUNCTION("""COMPUTED_VALUE"""),6535.17)</f>
        <v>6535.17</v>
      </c>
      <c r="H66" s="17">
        <f>IFERROR(__xludf.DUMMYFUNCTION("""COMPUTED_VALUE"""),6535.17)</f>
        <v>6535.17</v>
      </c>
    </row>
    <row r="67">
      <c r="A67" s="18" t="str">
        <f>IFERROR(__xludf.DUMMYFUNCTION("""COMPUTED_VALUE"""),"GREAT PLAINS FCU")</f>
        <v>GREAT PLAINS FCU</v>
      </c>
      <c r="B67" s="16">
        <f>IFERROR(__xludf.DUMMYFUNCTION("""COMPUTED_VALUE"""),1.0)</f>
        <v>1</v>
      </c>
      <c r="C67" s="17">
        <f>IFERROR(__xludf.DUMMYFUNCTION("""COMPUTED_VALUE"""),1244.15)</f>
        <v>1244.15</v>
      </c>
      <c r="D67" s="17">
        <f>IFERROR(__xludf.DUMMYFUNCTION("""COMPUTED_VALUE"""),1244.15)</f>
        <v>1244.15</v>
      </c>
      <c r="E67" s="17">
        <f>IFERROR(__xludf.DUMMYFUNCTION("""COMPUTED_VALUE"""),2651.53)</f>
        <v>2651.53</v>
      </c>
      <c r="F67" s="17">
        <f>IFERROR(__xludf.DUMMYFUNCTION("""COMPUTED_VALUE"""),2651.53)</f>
        <v>2651.53</v>
      </c>
      <c r="G67" s="17">
        <f>IFERROR(__xludf.DUMMYFUNCTION("""COMPUTED_VALUE"""),3895.68)</f>
        <v>3895.68</v>
      </c>
      <c r="H67" s="17">
        <f>IFERROR(__xludf.DUMMYFUNCTION("""COMPUTED_VALUE"""),3895.68)</f>
        <v>3895.68</v>
      </c>
    </row>
    <row r="68">
      <c r="A68" s="18" t="str">
        <f>IFERROR(__xludf.DUMMYFUNCTION("""COMPUTED_VALUE"""),"GENCO FCU")</f>
        <v>GENCO FCU</v>
      </c>
      <c r="B68" s="16">
        <f>IFERROR(__xludf.DUMMYFUNCTION("""COMPUTED_VALUE"""),1.0)</f>
        <v>1</v>
      </c>
      <c r="C68" s="17">
        <f>IFERROR(__xludf.DUMMYFUNCTION("""COMPUTED_VALUE"""),682.85)</f>
        <v>682.85</v>
      </c>
      <c r="D68" s="17">
        <f>IFERROR(__xludf.DUMMYFUNCTION("""COMPUTED_VALUE"""),682.85)</f>
        <v>682.85</v>
      </c>
      <c r="E68" s="17">
        <f>IFERROR(__xludf.DUMMYFUNCTION("""COMPUTED_VALUE"""),1293.89)</f>
        <v>1293.89</v>
      </c>
      <c r="F68" s="17">
        <f>IFERROR(__xludf.DUMMYFUNCTION("""COMPUTED_VALUE"""),1293.89)</f>
        <v>1293.89</v>
      </c>
      <c r="G68" s="17">
        <f>IFERROR(__xludf.DUMMYFUNCTION("""COMPUTED_VALUE"""),1976.74)</f>
        <v>1976.74</v>
      </c>
      <c r="H68" s="17">
        <f>IFERROR(__xludf.DUMMYFUNCTION("""COMPUTED_VALUE"""),1976.74)</f>
        <v>1976.74</v>
      </c>
    </row>
    <row r="69">
      <c r="A69" s="18" t="str">
        <f>IFERROR(__xludf.DUMMYFUNCTION("""COMPUTED_VALUE"""),"FIRST CENTRAL CU")</f>
        <v>FIRST CENTRAL CU</v>
      </c>
      <c r="B69" s="16">
        <f>IFERROR(__xludf.DUMMYFUNCTION("""COMPUTED_VALUE"""),1.0)</f>
        <v>1</v>
      </c>
      <c r="C69" s="17">
        <f>IFERROR(__xludf.DUMMYFUNCTION("""COMPUTED_VALUE"""),510.04)</f>
        <v>510.04</v>
      </c>
      <c r="D69" s="17">
        <f>IFERROR(__xludf.DUMMYFUNCTION("""COMPUTED_VALUE"""),510.04)</f>
        <v>510.04</v>
      </c>
      <c r="E69" s="17">
        <f>IFERROR(__xludf.DUMMYFUNCTION("""COMPUTED_VALUE"""),339.5)</f>
        <v>339.5</v>
      </c>
      <c r="F69" s="17">
        <f>IFERROR(__xludf.DUMMYFUNCTION("""COMPUTED_VALUE"""),339.5)</f>
        <v>339.5</v>
      </c>
      <c r="G69" s="17">
        <f>IFERROR(__xludf.DUMMYFUNCTION("""COMPUTED_VALUE"""),849.54)</f>
        <v>849.54</v>
      </c>
      <c r="H69" s="17">
        <f>IFERROR(__xludf.DUMMYFUNCTION("""COMPUTED_VALUE"""),849.54)</f>
        <v>849.54</v>
      </c>
    </row>
    <row r="70">
      <c r="A70" s="18" t="str">
        <f>IFERROR(__xludf.DUMMYFUNCTION("""COMPUTED_VALUE"""),"FINANCE POINT")</f>
        <v>FINANCE POINT</v>
      </c>
      <c r="B70" s="16">
        <f>IFERROR(__xludf.DUMMYFUNCTION("""COMPUTED_VALUE"""),1.0)</f>
        <v>1</v>
      </c>
      <c r="C70" s="17">
        <f>IFERROR(__xludf.DUMMYFUNCTION("""COMPUTED_VALUE"""),-35.0)</f>
        <v>-35</v>
      </c>
      <c r="D70" s="17">
        <f>IFERROR(__xludf.DUMMYFUNCTION("""COMPUTED_VALUE"""),-35.0)</f>
        <v>-35</v>
      </c>
      <c r="E70" s="17">
        <f>IFERROR(__xludf.DUMMYFUNCTION("""COMPUTED_VALUE"""),1909.0)</f>
        <v>1909</v>
      </c>
      <c r="F70" s="17">
        <f>IFERROR(__xludf.DUMMYFUNCTION("""COMPUTED_VALUE"""),1909.0)</f>
        <v>1909</v>
      </c>
      <c r="G70" s="17">
        <f>IFERROR(__xludf.DUMMYFUNCTION("""COMPUTED_VALUE"""),1874.0)</f>
        <v>1874</v>
      </c>
      <c r="H70" s="17">
        <f>IFERROR(__xludf.DUMMYFUNCTION("""COMPUTED_VALUE"""),1874.0)</f>
        <v>1874</v>
      </c>
    </row>
    <row r="71">
      <c r="A71" s="18" t="str">
        <f>IFERROR(__xludf.DUMMYFUNCTION("""COMPUTED_VALUE"""),"EXTRACO BANKS, N.A.")</f>
        <v>EXTRACO BANKS, N.A.</v>
      </c>
      <c r="B71" s="16">
        <f>IFERROR(__xludf.DUMMYFUNCTION("""COMPUTED_VALUE"""),1.0)</f>
        <v>1</v>
      </c>
      <c r="C71" s="17">
        <f>IFERROR(__xludf.DUMMYFUNCTION("""COMPUTED_VALUE"""),597.25)</f>
        <v>597.25</v>
      </c>
      <c r="D71" s="17">
        <f>IFERROR(__xludf.DUMMYFUNCTION("""COMPUTED_VALUE"""),597.25)</f>
        <v>597.25</v>
      </c>
      <c r="E71" s="17">
        <f>IFERROR(__xludf.DUMMYFUNCTION("""COMPUTED_VALUE"""),1939.5)</f>
        <v>1939.5</v>
      </c>
      <c r="F71" s="17">
        <f>IFERROR(__xludf.DUMMYFUNCTION("""COMPUTED_VALUE"""),1939.5)</f>
        <v>1939.5</v>
      </c>
      <c r="G71" s="17">
        <f>IFERROR(__xludf.DUMMYFUNCTION("""COMPUTED_VALUE"""),2536.75)</f>
        <v>2536.75</v>
      </c>
      <c r="H71" s="17">
        <f>IFERROR(__xludf.DUMMYFUNCTION("""COMPUTED_VALUE"""),2536.75)</f>
        <v>2536.75</v>
      </c>
    </row>
    <row r="72">
      <c r="A72" s="18" t="str">
        <f>IFERROR(__xludf.DUMMYFUNCTION("""COMPUTED_VALUE"""),"BOSSIER FCU")</f>
        <v>BOSSIER FCU</v>
      </c>
      <c r="B72" s="16">
        <f>IFERROR(__xludf.DUMMYFUNCTION("""COMPUTED_VALUE"""),1.0)</f>
        <v>1</v>
      </c>
      <c r="C72" s="17">
        <f>IFERROR(__xludf.DUMMYFUNCTION("""COMPUTED_VALUE"""),-110.45)</f>
        <v>-110.45</v>
      </c>
      <c r="D72" s="17">
        <f>IFERROR(__xludf.DUMMYFUNCTION("""COMPUTED_VALUE"""),-110.45)</f>
        <v>-110.45</v>
      </c>
      <c r="E72" s="17">
        <f>IFERROR(__xludf.DUMMYFUNCTION("""COMPUTED_VALUE"""),1451.0)</f>
        <v>1451</v>
      </c>
      <c r="F72" s="17">
        <f>IFERROR(__xludf.DUMMYFUNCTION("""COMPUTED_VALUE"""),1451.0)</f>
        <v>1451</v>
      </c>
      <c r="G72" s="17">
        <f>IFERROR(__xludf.DUMMYFUNCTION("""COMPUTED_VALUE"""),1340.55)</f>
        <v>1340.55</v>
      </c>
      <c r="H72" s="17">
        <f>IFERROR(__xludf.DUMMYFUNCTION("""COMPUTED_VALUE"""),1340.55)</f>
        <v>1340.55</v>
      </c>
    </row>
    <row r="73">
      <c r="A73" s="18"/>
      <c r="B73" s="19"/>
      <c r="C73" s="15"/>
      <c r="D73" s="15"/>
      <c r="E73" s="15"/>
      <c r="F73" s="15"/>
      <c r="G73" s="15"/>
      <c r="H73" s="15"/>
    </row>
    <row r="74">
      <c r="A74" s="18"/>
      <c r="B74" s="19"/>
      <c r="C74" s="15"/>
      <c r="D74" s="15"/>
      <c r="E74" s="15"/>
      <c r="F74" s="15"/>
      <c r="G74" s="15"/>
      <c r="H74" s="15"/>
    </row>
    <row r="75">
      <c r="A75" s="18"/>
      <c r="B75" s="19"/>
      <c r="C75" s="15"/>
      <c r="D75" s="15"/>
      <c r="E75" s="15"/>
      <c r="F75" s="15"/>
      <c r="G75" s="15"/>
      <c r="H75" s="15"/>
    </row>
    <row r="76">
      <c r="A76" s="18"/>
      <c r="B76" s="19"/>
      <c r="C76" s="15"/>
      <c r="D76" s="15"/>
      <c r="E76" s="15"/>
      <c r="F76" s="15"/>
      <c r="G76" s="15"/>
      <c r="H76" s="15"/>
    </row>
    <row r="77">
      <c r="A77" s="15"/>
      <c r="B77" s="19"/>
      <c r="C77" s="15"/>
      <c r="D77" s="15"/>
      <c r="E77" s="15"/>
      <c r="F77" s="15"/>
      <c r="G77" s="15"/>
      <c r="H77" s="15"/>
    </row>
    <row r="78">
      <c r="A78" s="15"/>
      <c r="B78" s="19"/>
      <c r="C78" s="15"/>
      <c r="D78" s="15"/>
      <c r="E78" s="15"/>
      <c r="F78" s="15"/>
      <c r="G78" s="15"/>
      <c r="H78" s="15"/>
    </row>
    <row r="79">
      <c r="A79" s="18"/>
      <c r="B79" s="19"/>
      <c r="C79" s="15"/>
      <c r="D79" s="15"/>
      <c r="E79" s="15"/>
      <c r="F79" s="15"/>
      <c r="G79" s="15"/>
      <c r="H79" s="15"/>
    </row>
    <row r="80">
      <c r="A80" s="18"/>
      <c r="B80" s="19"/>
      <c r="C80" s="15"/>
      <c r="D80" s="15"/>
      <c r="E80" s="15"/>
      <c r="F80" s="15"/>
      <c r="G80" s="15"/>
      <c r="H80" s="15"/>
    </row>
    <row r="81">
      <c r="A81" s="18"/>
      <c r="B81" s="19"/>
      <c r="C81" s="15"/>
      <c r="D81" s="15"/>
      <c r="E81" s="15"/>
      <c r="F81" s="15"/>
      <c r="G81" s="15"/>
      <c r="H81" s="15"/>
    </row>
    <row r="82">
      <c r="A82" s="18"/>
      <c r="B82" s="19"/>
      <c r="C82" s="15"/>
      <c r="D82" s="15"/>
      <c r="E82" s="15"/>
      <c r="F82" s="15"/>
      <c r="G82" s="15"/>
      <c r="H82" s="15"/>
    </row>
    <row r="83">
      <c r="A83" s="18"/>
      <c r="B83" s="19"/>
      <c r="C83" s="15"/>
      <c r="D83" s="15"/>
      <c r="E83" s="15"/>
      <c r="F83" s="15"/>
      <c r="G83" s="15"/>
      <c r="H83" s="15"/>
    </row>
    <row r="84">
      <c r="A84" s="18"/>
      <c r="B84" s="19"/>
      <c r="C84" s="15"/>
      <c r="D84" s="15"/>
      <c r="E84" s="15"/>
      <c r="F84" s="15"/>
      <c r="G84" s="15"/>
      <c r="H84" s="15"/>
    </row>
    <row r="85">
      <c r="A85" s="18"/>
      <c r="B85" s="19"/>
      <c r="C85" s="15"/>
      <c r="D85" s="15"/>
      <c r="E85" s="15"/>
      <c r="F85" s="15"/>
      <c r="G85" s="15"/>
      <c r="H85" s="15"/>
    </row>
    <row r="86">
      <c r="A86" s="18"/>
      <c r="B86" s="19"/>
      <c r="C86" s="15"/>
      <c r="D86" s="15"/>
      <c r="E86" s="15"/>
      <c r="F86" s="15"/>
      <c r="G86" s="15"/>
      <c r="H86" s="15"/>
    </row>
    <row r="87">
      <c r="A87" s="18"/>
      <c r="B87" s="19"/>
      <c r="C87" s="15"/>
      <c r="D87" s="15"/>
      <c r="E87" s="15"/>
      <c r="F87" s="15"/>
      <c r="G87" s="15"/>
      <c r="H87" s="15"/>
    </row>
    <row r="88">
      <c r="A88" s="18"/>
      <c r="B88" s="19"/>
      <c r="C88" s="15"/>
      <c r="D88" s="15"/>
      <c r="E88" s="15"/>
      <c r="F88" s="15"/>
      <c r="G88" s="15"/>
      <c r="H88" s="15"/>
    </row>
    <row r="89">
      <c r="A89" s="18"/>
      <c r="B89" s="19"/>
      <c r="C89" s="15"/>
      <c r="D89" s="15"/>
      <c r="E89" s="15"/>
      <c r="F89" s="15"/>
      <c r="G89" s="15"/>
      <c r="H89" s="15"/>
    </row>
    <row r="90">
      <c r="A90" s="18"/>
      <c r="B90" s="19"/>
      <c r="C90" s="15"/>
      <c r="D90" s="15"/>
      <c r="E90" s="15"/>
      <c r="F90" s="15"/>
      <c r="G90" s="15"/>
      <c r="H90" s="15"/>
    </row>
    <row r="91">
      <c r="A91" s="18"/>
      <c r="B91" s="19"/>
      <c r="C91" s="15"/>
      <c r="D91" s="15"/>
      <c r="E91" s="15"/>
      <c r="F91" s="15"/>
      <c r="G91" s="15"/>
      <c r="H91" s="15"/>
    </row>
    <row r="92">
      <c r="A92" s="18"/>
      <c r="B92" s="19"/>
      <c r="C92" s="15"/>
      <c r="D92" s="15"/>
      <c r="E92" s="15"/>
      <c r="F92" s="15"/>
      <c r="G92" s="15"/>
      <c r="H92" s="15"/>
    </row>
    <row r="93">
      <c r="A93" s="18"/>
      <c r="B93" s="19"/>
      <c r="C93" s="15"/>
      <c r="D93" s="15"/>
      <c r="E93" s="15"/>
      <c r="F93" s="15"/>
      <c r="G93" s="15"/>
      <c r="H93" s="15"/>
    </row>
    <row r="94">
      <c r="A94" s="18"/>
      <c r="B94" s="19"/>
      <c r="C94" s="15"/>
      <c r="D94" s="15"/>
      <c r="E94" s="15"/>
      <c r="F94" s="15"/>
      <c r="G94" s="15"/>
      <c r="H94" s="15"/>
    </row>
    <row r="95">
      <c r="A95" s="18"/>
      <c r="B95" s="19"/>
      <c r="C95" s="15"/>
      <c r="D95" s="15"/>
      <c r="E95" s="15"/>
      <c r="F95" s="15"/>
      <c r="G95" s="15"/>
      <c r="H95" s="15"/>
    </row>
    <row r="96">
      <c r="A96" s="18"/>
      <c r="B96" s="19"/>
      <c r="C96" s="15"/>
      <c r="D96" s="15"/>
      <c r="E96" s="15"/>
      <c r="F96" s="15"/>
      <c r="G96" s="15"/>
      <c r="H96" s="15"/>
    </row>
    <row r="97">
      <c r="A97" s="18"/>
      <c r="B97" s="19"/>
      <c r="C97" s="15"/>
      <c r="D97" s="15"/>
      <c r="E97" s="15"/>
      <c r="F97" s="15"/>
      <c r="G97" s="15"/>
      <c r="H97" s="15"/>
    </row>
    <row r="98">
      <c r="A98" s="18"/>
      <c r="B98" s="19"/>
      <c r="C98" s="15"/>
      <c r="D98" s="15"/>
      <c r="E98" s="15"/>
      <c r="F98" s="15"/>
      <c r="G98" s="15"/>
      <c r="H98" s="15"/>
    </row>
    <row r="99">
      <c r="A99" s="15"/>
      <c r="B99" s="19"/>
      <c r="C99" s="15"/>
      <c r="D99" s="15"/>
      <c r="E99" s="15"/>
      <c r="F99" s="15"/>
      <c r="G99" s="15"/>
      <c r="H99" s="15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  <row r="112">
      <c r="B112" s="19"/>
    </row>
    <row r="113">
      <c r="B113" s="19"/>
    </row>
    <row r="114">
      <c r="B114" s="19"/>
    </row>
    <row r="115">
      <c r="B115" s="19"/>
    </row>
    <row r="116">
      <c r="B116" s="19"/>
    </row>
    <row r="117">
      <c r="B117" s="19"/>
    </row>
    <row r="118">
      <c r="B118" s="19"/>
    </row>
    <row r="119">
      <c r="B119" s="19"/>
    </row>
    <row r="120">
      <c r="B120" s="19"/>
    </row>
    <row r="121">
      <c r="B121" s="19"/>
    </row>
    <row r="122">
      <c r="B122" s="19"/>
    </row>
    <row r="123">
      <c r="B123" s="19"/>
    </row>
    <row r="124">
      <c r="B124" s="19"/>
    </row>
    <row r="125">
      <c r="B125" s="19"/>
    </row>
    <row r="126">
      <c r="B126" s="19"/>
    </row>
    <row r="127">
      <c r="B127" s="19"/>
    </row>
    <row r="128">
      <c r="B128" s="19"/>
    </row>
    <row r="129">
      <c r="B129" s="19"/>
    </row>
    <row r="130">
      <c r="B130" s="19"/>
    </row>
    <row r="131">
      <c r="B131" s="19"/>
    </row>
    <row r="132">
      <c r="B132" s="19"/>
    </row>
    <row r="133">
      <c r="B133" s="19"/>
    </row>
    <row r="134">
      <c r="B134" s="19"/>
    </row>
    <row r="135">
      <c r="B135" s="19"/>
    </row>
    <row r="136">
      <c r="B136" s="19"/>
    </row>
    <row r="137">
      <c r="B137" s="19"/>
    </row>
    <row r="138">
      <c r="B138" s="19"/>
    </row>
    <row r="139">
      <c r="B139" s="19"/>
    </row>
    <row r="140">
      <c r="B140" s="19"/>
    </row>
    <row r="141">
      <c r="B141" s="19"/>
    </row>
    <row r="142">
      <c r="B142" s="19"/>
    </row>
    <row r="143">
      <c r="B143" s="19"/>
    </row>
    <row r="144">
      <c r="B144" s="19"/>
    </row>
    <row r="145">
      <c r="B145" s="19"/>
    </row>
    <row r="146">
      <c r="B146" s="19"/>
    </row>
    <row r="147">
      <c r="B147" s="19"/>
    </row>
    <row r="148">
      <c r="B148" s="19"/>
    </row>
    <row r="149">
      <c r="B149" s="19"/>
    </row>
    <row r="150">
      <c r="B150" s="19"/>
    </row>
    <row r="151">
      <c r="B151" s="19"/>
    </row>
    <row r="152">
      <c r="B152" s="19"/>
    </row>
    <row r="153">
      <c r="B153" s="19"/>
    </row>
    <row r="154">
      <c r="B154" s="19"/>
    </row>
    <row r="155">
      <c r="B155" s="19"/>
    </row>
    <row r="156">
      <c r="B156" s="19"/>
    </row>
    <row r="157">
      <c r="B157" s="19"/>
    </row>
    <row r="158">
      <c r="B158" s="19"/>
    </row>
    <row r="159">
      <c r="B159" s="19"/>
    </row>
    <row r="160">
      <c r="B160" s="19"/>
    </row>
    <row r="161">
      <c r="B161" s="19"/>
    </row>
    <row r="162">
      <c r="B162" s="19"/>
    </row>
    <row r="163">
      <c r="B163" s="19"/>
    </row>
    <row r="164">
      <c r="B164" s="19"/>
    </row>
    <row r="165">
      <c r="B165" s="19"/>
    </row>
    <row r="166">
      <c r="B166" s="19"/>
    </row>
    <row r="167">
      <c r="B167" s="19"/>
    </row>
    <row r="168">
      <c r="B168" s="19"/>
    </row>
    <row r="169">
      <c r="B169" s="19"/>
    </row>
    <row r="170">
      <c r="B170" s="19"/>
    </row>
    <row r="171">
      <c r="B171" s="19"/>
    </row>
    <row r="172">
      <c r="B172" s="19"/>
    </row>
    <row r="173">
      <c r="B173" s="19"/>
    </row>
    <row r="174">
      <c r="B174" s="19"/>
    </row>
    <row r="175">
      <c r="B175" s="19"/>
    </row>
    <row r="176">
      <c r="B176" s="19"/>
    </row>
    <row r="177">
      <c r="B177" s="19"/>
    </row>
    <row r="178">
      <c r="B178" s="19"/>
    </row>
    <row r="179">
      <c r="B179" s="19"/>
    </row>
    <row r="180">
      <c r="B180" s="19"/>
    </row>
    <row r="181">
      <c r="B181" s="19"/>
    </row>
    <row r="182">
      <c r="B182" s="19"/>
    </row>
    <row r="183">
      <c r="B183" s="19"/>
    </row>
    <row r="184">
      <c r="B184" s="19"/>
    </row>
    <row r="185">
      <c r="B185" s="19"/>
    </row>
    <row r="186">
      <c r="B186" s="19"/>
    </row>
    <row r="187">
      <c r="B187" s="19"/>
    </row>
    <row r="188">
      <c r="B188" s="19"/>
    </row>
    <row r="189">
      <c r="B189" s="19"/>
    </row>
    <row r="190">
      <c r="B190" s="19"/>
    </row>
    <row r="191">
      <c r="B191" s="19"/>
    </row>
    <row r="192">
      <c r="B192" s="19"/>
    </row>
    <row r="193">
      <c r="B193" s="19"/>
    </row>
    <row r="194">
      <c r="B194" s="19"/>
    </row>
    <row r="195">
      <c r="B195" s="19"/>
    </row>
    <row r="196">
      <c r="B196" s="19"/>
    </row>
    <row r="197">
      <c r="B197" s="19"/>
    </row>
    <row r="198">
      <c r="B198" s="19"/>
    </row>
    <row r="199">
      <c r="B199" s="19"/>
    </row>
    <row r="200">
      <c r="B200" s="19"/>
    </row>
    <row r="201">
      <c r="B201" s="19"/>
    </row>
    <row r="202">
      <c r="B202" s="19"/>
    </row>
    <row r="203">
      <c r="B203" s="19"/>
    </row>
    <row r="204">
      <c r="B204" s="19"/>
    </row>
    <row r="205">
      <c r="B205" s="19"/>
    </row>
    <row r="206">
      <c r="B206" s="19"/>
    </row>
    <row r="207">
      <c r="B207" s="19"/>
    </row>
    <row r="208">
      <c r="B208" s="19"/>
    </row>
    <row r="209">
      <c r="B209" s="19"/>
    </row>
    <row r="210">
      <c r="B210" s="19"/>
    </row>
    <row r="211">
      <c r="B211" s="19"/>
    </row>
    <row r="212">
      <c r="B212" s="19"/>
    </row>
    <row r="213">
      <c r="B213" s="19"/>
    </row>
    <row r="214">
      <c r="B214" s="19"/>
    </row>
    <row r="215">
      <c r="B215" s="19"/>
    </row>
    <row r="216">
      <c r="B216" s="19"/>
    </row>
    <row r="217">
      <c r="B217" s="19"/>
    </row>
    <row r="218">
      <c r="B218" s="19"/>
    </row>
    <row r="219">
      <c r="B219" s="19"/>
    </row>
    <row r="220">
      <c r="B220" s="19"/>
    </row>
    <row r="221">
      <c r="B221" s="19"/>
    </row>
    <row r="222">
      <c r="B222" s="19"/>
    </row>
    <row r="223">
      <c r="B223" s="19"/>
    </row>
    <row r="224">
      <c r="B224" s="19"/>
    </row>
    <row r="225">
      <c r="B225" s="19"/>
    </row>
    <row r="226">
      <c r="B226" s="19"/>
    </row>
    <row r="227">
      <c r="B227" s="19"/>
    </row>
    <row r="228">
      <c r="B228" s="19"/>
    </row>
    <row r="229">
      <c r="B229" s="19"/>
    </row>
    <row r="230">
      <c r="B230" s="19"/>
    </row>
    <row r="231">
      <c r="B231" s="19"/>
    </row>
    <row r="232">
      <c r="B232" s="19"/>
    </row>
    <row r="233">
      <c r="B233" s="19"/>
    </row>
    <row r="234">
      <c r="B234" s="19"/>
    </row>
    <row r="235">
      <c r="B235" s="19"/>
    </row>
    <row r="236">
      <c r="B236" s="19"/>
    </row>
    <row r="237">
      <c r="B237" s="19"/>
    </row>
    <row r="238">
      <c r="B238" s="19"/>
    </row>
    <row r="239">
      <c r="B239" s="19"/>
    </row>
    <row r="240">
      <c r="B240" s="19"/>
    </row>
    <row r="241">
      <c r="B241" s="19"/>
    </row>
    <row r="242">
      <c r="B242" s="19"/>
    </row>
    <row r="243">
      <c r="B243" s="19"/>
    </row>
    <row r="244">
      <c r="B244" s="19"/>
    </row>
    <row r="245">
      <c r="B245" s="19"/>
    </row>
    <row r="246">
      <c r="B246" s="19"/>
    </row>
    <row r="247">
      <c r="B247" s="19"/>
    </row>
    <row r="248">
      <c r="B248" s="19"/>
    </row>
    <row r="249">
      <c r="B249" s="19"/>
    </row>
    <row r="250">
      <c r="B250" s="19"/>
    </row>
    <row r="251">
      <c r="B251" s="19"/>
    </row>
    <row r="252">
      <c r="B252" s="19"/>
    </row>
    <row r="253">
      <c r="B253" s="19"/>
    </row>
    <row r="254">
      <c r="B254" s="19"/>
    </row>
    <row r="255">
      <c r="B255" s="19"/>
    </row>
    <row r="256">
      <c r="B256" s="19"/>
    </row>
    <row r="257">
      <c r="B257" s="19"/>
    </row>
    <row r="258">
      <c r="B258" s="19"/>
    </row>
    <row r="259">
      <c r="B259" s="19"/>
    </row>
    <row r="260">
      <c r="B260" s="19"/>
    </row>
    <row r="261">
      <c r="B261" s="19"/>
    </row>
    <row r="262">
      <c r="B262" s="19"/>
    </row>
    <row r="263">
      <c r="B263" s="19"/>
    </row>
    <row r="264">
      <c r="B264" s="19"/>
    </row>
    <row r="265">
      <c r="B265" s="19"/>
    </row>
    <row r="266">
      <c r="B266" s="19"/>
    </row>
    <row r="267">
      <c r="B267" s="19"/>
    </row>
    <row r="268">
      <c r="B268" s="19"/>
    </row>
    <row r="269">
      <c r="B269" s="19"/>
    </row>
    <row r="270">
      <c r="B270" s="19"/>
    </row>
    <row r="271">
      <c r="B271" s="19"/>
    </row>
    <row r="272">
      <c r="B272" s="19"/>
    </row>
    <row r="273">
      <c r="B273" s="19"/>
    </row>
    <row r="274">
      <c r="B274" s="19"/>
    </row>
    <row r="275">
      <c r="B275" s="19"/>
    </row>
    <row r="276">
      <c r="B276" s="19"/>
    </row>
    <row r="277">
      <c r="B277" s="19"/>
    </row>
    <row r="278">
      <c r="B278" s="19"/>
    </row>
    <row r="279">
      <c r="B279" s="19"/>
    </row>
    <row r="280">
      <c r="B280" s="19"/>
    </row>
    <row r="281">
      <c r="B281" s="19"/>
    </row>
    <row r="282">
      <c r="B282" s="19"/>
    </row>
    <row r="283">
      <c r="B283" s="19"/>
    </row>
    <row r="284">
      <c r="B284" s="19"/>
    </row>
    <row r="285">
      <c r="B285" s="19"/>
    </row>
    <row r="286">
      <c r="B286" s="19"/>
    </row>
    <row r="287">
      <c r="B287" s="19"/>
    </row>
    <row r="288">
      <c r="B288" s="19"/>
    </row>
    <row r="289">
      <c r="B289" s="19"/>
    </row>
    <row r="290">
      <c r="B290" s="19"/>
    </row>
    <row r="291">
      <c r="B291" s="19"/>
    </row>
    <row r="292">
      <c r="B292" s="19"/>
    </row>
    <row r="293">
      <c r="B293" s="19"/>
    </row>
    <row r="294">
      <c r="B294" s="19"/>
    </row>
    <row r="295">
      <c r="B295" s="19"/>
    </row>
    <row r="296">
      <c r="B296" s="19"/>
    </row>
    <row r="297">
      <c r="B297" s="19"/>
    </row>
    <row r="298">
      <c r="B298" s="19"/>
    </row>
    <row r="299">
      <c r="B299" s="19"/>
    </row>
    <row r="300">
      <c r="B300" s="19"/>
    </row>
    <row r="301">
      <c r="B301" s="19"/>
    </row>
    <row r="302">
      <c r="B302" s="19"/>
    </row>
    <row r="303">
      <c r="B303" s="19"/>
    </row>
    <row r="304">
      <c r="B304" s="19"/>
    </row>
    <row r="305">
      <c r="B305" s="19"/>
    </row>
    <row r="306">
      <c r="B306" s="19"/>
    </row>
    <row r="307">
      <c r="B307" s="19"/>
    </row>
    <row r="308">
      <c r="B308" s="19"/>
    </row>
    <row r="309">
      <c r="B309" s="19"/>
    </row>
    <row r="310">
      <c r="B310" s="19"/>
    </row>
    <row r="311">
      <c r="B311" s="19"/>
    </row>
    <row r="312">
      <c r="B312" s="19"/>
    </row>
    <row r="313">
      <c r="B313" s="19"/>
    </row>
    <row r="314">
      <c r="B314" s="19"/>
    </row>
    <row r="315">
      <c r="B315" s="19"/>
    </row>
    <row r="316">
      <c r="B316" s="19"/>
    </row>
    <row r="317">
      <c r="B317" s="19"/>
    </row>
    <row r="318">
      <c r="B318" s="19"/>
    </row>
    <row r="319">
      <c r="B319" s="19"/>
    </row>
    <row r="320">
      <c r="B320" s="19"/>
    </row>
    <row r="321">
      <c r="B321" s="19"/>
    </row>
    <row r="322">
      <c r="B322" s="19"/>
    </row>
    <row r="323">
      <c r="B323" s="19"/>
    </row>
    <row r="324">
      <c r="B324" s="19"/>
    </row>
    <row r="325">
      <c r="B325" s="19"/>
    </row>
    <row r="326">
      <c r="B326" s="19"/>
    </row>
    <row r="327">
      <c r="B327" s="19"/>
    </row>
    <row r="328">
      <c r="B328" s="19"/>
    </row>
    <row r="329">
      <c r="B329" s="19"/>
    </row>
    <row r="330">
      <c r="B330" s="19"/>
    </row>
    <row r="331">
      <c r="B331" s="19"/>
    </row>
    <row r="332">
      <c r="B332" s="19"/>
    </row>
    <row r="333">
      <c r="B333" s="19"/>
    </row>
    <row r="334">
      <c r="B334" s="19"/>
    </row>
    <row r="335">
      <c r="B335" s="19"/>
    </row>
    <row r="336">
      <c r="B336" s="19"/>
    </row>
    <row r="337">
      <c r="B337" s="19"/>
    </row>
    <row r="338">
      <c r="B338" s="19"/>
    </row>
    <row r="339">
      <c r="B339" s="19"/>
    </row>
    <row r="340">
      <c r="B340" s="19"/>
    </row>
    <row r="341">
      <c r="B341" s="19"/>
    </row>
    <row r="342">
      <c r="B342" s="19"/>
    </row>
    <row r="343">
      <c r="B343" s="19"/>
    </row>
    <row r="344">
      <c r="B344" s="19"/>
    </row>
    <row r="345">
      <c r="B345" s="19"/>
    </row>
    <row r="346">
      <c r="B346" s="19"/>
    </row>
    <row r="347">
      <c r="B347" s="19"/>
    </row>
    <row r="348">
      <c r="B348" s="19"/>
    </row>
    <row r="349">
      <c r="B349" s="19"/>
    </row>
    <row r="350">
      <c r="B350" s="19"/>
    </row>
    <row r="351">
      <c r="B351" s="19"/>
    </row>
    <row r="352">
      <c r="B352" s="19"/>
    </row>
    <row r="353">
      <c r="B353" s="19"/>
    </row>
    <row r="354">
      <c r="B354" s="19"/>
    </row>
    <row r="355">
      <c r="B355" s="19"/>
    </row>
    <row r="356">
      <c r="B356" s="19"/>
    </row>
    <row r="357">
      <c r="B357" s="19"/>
    </row>
    <row r="358">
      <c r="B358" s="19"/>
    </row>
    <row r="359">
      <c r="B359" s="19"/>
    </row>
    <row r="360">
      <c r="B360" s="19"/>
    </row>
    <row r="361">
      <c r="B361" s="19"/>
    </row>
    <row r="362">
      <c r="B362" s="19"/>
    </row>
    <row r="363">
      <c r="B363" s="19"/>
    </row>
    <row r="364">
      <c r="B364" s="19"/>
    </row>
    <row r="365">
      <c r="B365" s="19"/>
    </row>
    <row r="366">
      <c r="B366" s="19"/>
    </row>
    <row r="367">
      <c r="B367" s="19"/>
    </row>
    <row r="368">
      <c r="B368" s="19"/>
    </row>
    <row r="369">
      <c r="B369" s="19"/>
    </row>
    <row r="370">
      <c r="B370" s="19"/>
    </row>
    <row r="371">
      <c r="B371" s="19"/>
    </row>
    <row r="372">
      <c r="B372" s="19"/>
    </row>
    <row r="373">
      <c r="B373" s="19"/>
    </row>
    <row r="374">
      <c r="B374" s="19"/>
    </row>
    <row r="375">
      <c r="B375" s="19"/>
    </row>
    <row r="376">
      <c r="B376" s="19"/>
    </row>
    <row r="377">
      <c r="B377" s="19"/>
    </row>
    <row r="378">
      <c r="B378" s="19"/>
    </row>
    <row r="379">
      <c r="B379" s="19"/>
    </row>
    <row r="380">
      <c r="B380" s="19"/>
    </row>
    <row r="381">
      <c r="B381" s="19"/>
    </row>
    <row r="382">
      <c r="B382" s="19"/>
    </row>
    <row r="383">
      <c r="B383" s="19"/>
    </row>
    <row r="384">
      <c r="B384" s="19"/>
    </row>
    <row r="385">
      <c r="B385" s="19"/>
    </row>
    <row r="386">
      <c r="B386" s="19"/>
    </row>
    <row r="387">
      <c r="B387" s="19"/>
    </row>
    <row r="388">
      <c r="B388" s="19"/>
    </row>
    <row r="389">
      <c r="B389" s="19"/>
    </row>
    <row r="390">
      <c r="B390" s="19"/>
    </row>
    <row r="391">
      <c r="B391" s="19"/>
    </row>
    <row r="392">
      <c r="B392" s="19"/>
    </row>
    <row r="393">
      <c r="B393" s="19"/>
    </row>
    <row r="394">
      <c r="B394" s="19"/>
    </row>
    <row r="395">
      <c r="B395" s="19"/>
    </row>
    <row r="396">
      <c r="B396" s="19"/>
    </row>
    <row r="397">
      <c r="B397" s="19"/>
    </row>
    <row r="398">
      <c r="B398" s="19"/>
    </row>
    <row r="399">
      <c r="B399" s="19"/>
    </row>
    <row r="400">
      <c r="B400" s="19"/>
    </row>
    <row r="401">
      <c r="B401" s="19"/>
    </row>
    <row r="402">
      <c r="B402" s="19"/>
    </row>
    <row r="403">
      <c r="B403" s="19"/>
    </row>
    <row r="404">
      <c r="B404" s="19"/>
    </row>
    <row r="405">
      <c r="B405" s="19"/>
    </row>
    <row r="406">
      <c r="B406" s="19"/>
    </row>
    <row r="407">
      <c r="B407" s="19"/>
    </row>
    <row r="408">
      <c r="B408" s="19"/>
    </row>
    <row r="409">
      <c r="B409" s="19"/>
    </row>
    <row r="410">
      <c r="B410" s="19"/>
    </row>
    <row r="411">
      <c r="B411" s="19"/>
    </row>
    <row r="412">
      <c r="B412" s="19"/>
    </row>
    <row r="413">
      <c r="B413" s="19"/>
    </row>
    <row r="414">
      <c r="B414" s="19"/>
    </row>
    <row r="415">
      <c r="B415" s="19"/>
    </row>
    <row r="416">
      <c r="B416" s="19"/>
    </row>
    <row r="417">
      <c r="B417" s="19"/>
    </row>
    <row r="418">
      <c r="B418" s="19"/>
    </row>
    <row r="419">
      <c r="B419" s="19"/>
    </row>
    <row r="420">
      <c r="B420" s="19"/>
    </row>
    <row r="421">
      <c r="B421" s="19"/>
    </row>
    <row r="422">
      <c r="B422" s="19"/>
    </row>
    <row r="423">
      <c r="B423" s="19"/>
    </row>
    <row r="424">
      <c r="B424" s="19"/>
    </row>
    <row r="425">
      <c r="B425" s="19"/>
    </row>
    <row r="426">
      <c r="B426" s="19"/>
    </row>
    <row r="427">
      <c r="B427" s="19"/>
    </row>
    <row r="428">
      <c r="B428" s="19"/>
    </row>
    <row r="429">
      <c r="B429" s="19"/>
    </row>
    <row r="430">
      <c r="B430" s="19"/>
    </row>
    <row r="431">
      <c r="B431" s="19"/>
    </row>
    <row r="432">
      <c r="B432" s="19"/>
    </row>
    <row r="433">
      <c r="B433" s="19"/>
    </row>
    <row r="434">
      <c r="B434" s="19"/>
    </row>
    <row r="435">
      <c r="B435" s="19"/>
    </row>
    <row r="436">
      <c r="B436" s="19"/>
    </row>
    <row r="437">
      <c r="B437" s="19"/>
    </row>
    <row r="438">
      <c r="B438" s="19"/>
    </row>
    <row r="439">
      <c r="B439" s="19"/>
    </row>
    <row r="440">
      <c r="B440" s="19"/>
    </row>
    <row r="441">
      <c r="B441" s="19"/>
    </row>
    <row r="442">
      <c r="B442" s="19"/>
    </row>
    <row r="443">
      <c r="B443" s="19"/>
    </row>
    <row r="444">
      <c r="B444" s="19"/>
    </row>
    <row r="445">
      <c r="B445" s="19"/>
    </row>
    <row r="446">
      <c r="B446" s="19"/>
    </row>
    <row r="447">
      <c r="B447" s="19"/>
    </row>
    <row r="448">
      <c r="B448" s="19"/>
    </row>
    <row r="449">
      <c r="B449" s="19"/>
    </row>
    <row r="450">
      <c r="B450" s="19"/>
    </row>
    <row r="451">
      <c r="B451" s="19"/>
    </row>
    <row r="452">
      <c r="B452" s="19"/>
    </row>
    <row r="453">
      <c r="B453" s="19"/>
    </row>
    <row r="454">
      <c r="B454" s="19"/>
    </row>
    <row r="455">
      <c r="B455" s="19"/>
    </row>
    <row r="456">
      <c r="B456" s="19"/>
    </row>
    <row r="457">
      <c r="B457" s="19"/>
    </row>
    <row r="458">
      <c r="B458" s="19"/>
    </row>
    <row r="459">
      <c r="B459" s="19"/>
    </row>
    <row r="460">
      <c r="B460" s="19"/>
    </row>
    <row r="461">
      <c r="B461" s="19"/>
    </row>
    <row r="462">
      <c r="B462" s="19"/>
    </row>
    <row r="463">
      <c r="B463" s="19"/>
    </row>
    <row r="464">
      <c r="B464" s="19"/>
    </row>
    <row r="465">
      <c r="B465" s="19"/>
    </row>
    <row r="466">
      <c r="B466" s="19"/>
    </row>
    <row r="467">
      <c r="B467" s="19"/>
    </row>
    <row r="468">
      <c r="B468" s="19"/>
    </row>
    <row r="469">
      <c r="B469" s="19"/>
    </row>
    <row r="470">
      <c r="B470" s="19"/>
    </row>
    <row r="471">
      <c r="B471" s="19"/>
    </row>
    <row r="472">
      <c r="B472" s="19"/>
    </row>
    <row r="473">
      <c r="B473" s="19"/>
    </row>
    <row r="474">
      <c r="B474" s="19"/>
    </row>
    <row r="475">
      <c r="B475" s="19"/>
    </row>
    <row r="476">
      <c r="B476" s="19"/>
    </row>
    <row r="477">
      <c r="B477" s="19"/>
    </row>
    <row r="478">
      <c r="B478" s="19"/>
    </row>
    <row r="479">
      <c r="B479" s="19"/>
    </row>
    <row r="480">
      <c r="B480" s="19"/>
    </row>
    <row r="481">
      <c r="B481" s="19"/>
    </row>
    <row r="482">
      <c r="B482" s="19"/>
    </row>
    <row r="483">
      <c r="B483" s="19"/>
    </row>
    <row r="484">
      <c r="B484" s="19"/>
    </row>
    <row r="485">
      <c r="B485" s="19"/>
    </row>
    <row r="486">
      <c r="B486" s="19"/>
    </row>
    <row r="487">
      <c r="B487" s="19"/>
    </row>
    <row r="488">
      <c r="B488" s="19"/>
    </row>
    <row r="489">
      <c r="B489" s="19"/>
    </row>
    <row r="490">
      <c r="B490" s="19"/>
    </row>
    <row r="491">
      <c r="B491" s="19"/>
    </row>
    <row r="492">
      <c r="B492" s="19"/>
    </row>
    <row r="493">
      <c r="B493" s="19"/>
    </row>
    <row r="494">
      <c r="B494" s="19"/>
    </row>
    <row r="495">
      <c r="B495" s="19"/>
    </row>
    <row r="496">
      <c r="B496" s="19"/>
    </row>
    <row r="497">
      <c r="B497" s="19"/>
    </row>
    <row r="498">
      <c r="B498" s="19"/>
    </row>
    <row r="499">
      <c r="B499" s="19"/>
    </row>
    <row r="500">
      <c r="B500" s="19"/>
    </row>
    <row r="501">
      <c r="B501" s="19"/>
    </row>
    <row r="502">
      <c r="B502" s="19"/>
    </row>
    <row r="503">
      <c r="B503" s="19"/>
    </row>
    <row r="504">
      <c r="B504" s="19"/>
    </row>
    <row r="505">
      <c r="B505" s="19"/>
    </row>
    <row r="506">
      <c r="B506" s="19"/>
    </row>
    <row r="507">
      <c r="B507" s="19"/>
    </row>
    <row r="508">
      <c r="B508" s="19"/>
    </row>
    <row r="509">
      <c r="B509" s="19"/>
    </row>
    <row r="510">
      <c r="B510" s="19"/>
    </row>
    <row r="511">
      <c r="B511" s="19"/>
    </row>
    <row r="512">
      <c r="B512" s="19"/>
    </row>
    <row r="513">
      <c r="B513" s="19"/>
    </row>
    <row r="514">
      <c r="B514" s="19"/>
    </row>
    <row r="515">
      <c r="B515" s="19"/>
    </row>
    <row r="516">
      <c r="B516" s="19"/>
    </row>
    <row r="517">
      <c r="B517" s="19"/>
    </row>
    <row r="518">
      <c r="B518" s="19"/>
    </row>
    <row r="519">
      <c r="B519" s="19"/>
    </row>
    <row r="520">
      <c r="B520" s="19"/>
    </row>
    <row r="521">
      <c r="B521" s="19"/>
    </row>
    <row r="522">
      <c r="B522" s="19"/>
    </row>
    <row r="523">
      <c r="B523" s="19"/>
    </row>
    <row r="524">
      <c r="B524" s="19"/>
    </row>
    <row r="525">
      <c r="B525" s="19"/>
    </row>
    <row r="526">
      <c r="B526" s="19"/>
    </row>
    <row r="527">
      <c r="B527" s="19"/>
    </row>
    <row r="528">
      <c r="B528" s="19"/>
    </row>
    <row r="529">
      <c r="B529" s="19"/>
    </row>
    <row r="530">
      <c r="B530" s="19"/>
    </row>
    <row r="531">
      <c r="B531" s="19"/>
    </row>
    <row r="532">
      <c r="B532" s="19"/>
    </row>
    <row r="533">
      <c r="B533" s="19"/>
    </row>
    <row r="534">
      <c r="B534" s="19"/>
    </row>
    <row r="535">
      <c r="B535" s="19"/>
    </row>
    <row r="536">
      <c r="B536" s="19"/>
    </row>
    <row r="537">
      <c r="B537" s="19"/>
    </row>
    <row r="538">
      <c r="B538" s="19"/>
    </row>
    <row r="539">
      <c r="B539" s="19"/>
    </row>
    <row r="540">
      <c r="B540" s="19"/>
    </row>
    <row r="541">
      <c r="B541" s="19"/>
    </row>
    <row r="542">
      <c r="B542" s="19"/>
    </row>
    <row r="543">
      <c r="B543" s="19"/>
    </row>
    <row r="544">
      <c r="B544" s="19"/>
    </row>
    <row r="545">
      <c r="B545" s="19"/>
    </row>
    <row r="546">
      <c r="B546" s="19"/>
    </row>
    <row r="547">
      <c r="B547" s="19"/>
    </row>
    <row r="548">
      <c r="B548" s="19"/>
    </row>
    <row r="549">
      <c r="B549" s="19"/>
    </row>
    <row r="550">
      <c r="B550" s="19"/>
    </row>
    <row r="551">
      <c r="B551" s="19"/>
    </row>
    <row r="552">
      <c r="B552" s="19"/>
    </row>
    <row r="553">
      <c r="B553" s="19"/>
    </row>
    <row r="554">
      <c r="B554" s="19"/>
    </row>
    <row r="555">
      <c r="B555" s="19"/>
    </row>
    <row r="556">
      <c r="B556" s="19"/>
    </row>
    <row r="557">
      <c r="B557" s="19"/>
    </row>
    <row r="558">
      <c r="B558" s="19"/>
    </row>
    <row r="559">
      <c r="B559" s="19"/>
    </row>
    <row r="560">
      <c r="B560" s="19"/>
    </row>
    <row r="561">
      <c r="B561" s="19"/>
    </row>
    <row r="562">
      <c r="B562" s="19"/>
    </row>
    <row r="563">
      <c r="B563" s="19"/>
    </row>
    <row r="564">
      <c r="B564" s="19"/>
    </row>
    <row r="565">
      <c r="B565" s="19"/>
    </row>
    <row r="566">
      <c r="B566" s="19"/>
    </row>
    <row r="567">
      <c r="B567" s="19"/>
    </row>
    <row r="568">
      <c r="B568" s="19"/>
    </row>
    <row r="569">
      <c r="B569" s="19"/>
    </row>
    <row r="570">
      <c r="B570" s="19"/>
    </row>
    <row r="571">
      <c r="B571" s="19"/>
    </row>
    <row r="572">
      <c r="B572" s="19"/>
    </row>
    <row r="573">
      <c r="B573" s="19"/>
    </row>
    <row r="574">
      <c r="B574" s="19"/>
    </row>
    <row r="575">
      <c r="B575" s="19"/>
    </row>
    <row r="576">
      <c r="B576" s="19"/>
    </row>
    <row r="577">
      <c r="B577" s="19"/>
    </row>
    <row r="578">
      <c r="B578" s="19"/>
    </row>
    <row r="579">
      <c r="B579" s="19"/>
    </row>
    <row r="580">
      <c r="B580" s="19"/>
    </row>
    <row r="581">
      <c r="B581" s="19"/>
    </row>
    <row r="582">
      <c r="B582" s="19"/>
    </row>
    <row r="583">
      <c r="B583" s="19"/>
    </row>
    <row r="584">
      <c r="B584" s="19"/>
    </row>
    <row r="585">
      <c r="B585" s="19"/>
    </row>
    <row r="586">
      <c r="B586" s="19"/>
    </row>
    <row r="587">
      <c r="B587" s="19"/>
    </row>
    <row r="588">
      <c r="B588" s="19"/>
    </row>
    <row r="589">
      <c r="B589" s="19"/>
    </row>
    <row r="590">
      <c r="B590" s="19"/>
    </row>
    <row r="591">
      <c r="B591" s="19"/>
    </row>
    <row r="592">
      <c r="B592" s="19"/>
    </row>
    <row r="593">
      <c r="B593" s="19"/>
    </row>
    <row r="594">
      <c r="B594" s="19"/>
    </row>
    <row r="595">
      <c r="B595" s="19"/>
    </row>
    <row r="596">
      <c r="B596" s="19"/>
    </row>
    <row r="597">
      <c r="B597" s="19"/>
    </row>
    <row r="598">
      <c r="B598" s="19"/>
    </row>
    <row r="599">
      <c r="B599" s="19"/>
    </row>
    <row r="600">
      <c r="B600" s="19"/>
    </row>
    <row r="601">
      <c r="B601" s="19"/>
    </row>
    <row r="602">
      <c r="B602" s="19"/>
    </row>
    <row r="603">
      <c r="B603" s="19"/>
    </row>
    <row r="604">
      <c r="B604" s="19"/>
    </row>
    <row r="605">
      <c r="B605" s="19"/>
    </row>
    <row r="606">
      <c r="B606" s="19"/>
    </row>
    <row r="607">
      <c r="B607" s="19"/>
    </row>
    <row r="608">
      <c r="B608" s="19"/>
    </row>
    <row r="609">
      <c r="B609" s="19"/>
    </row>
    <row r="610">
      <c r="B610" s="19"/>
    </row>
    <row r="611">
      <c r="B611" s="19"/>
    </row>
    <row r="612">
      <c r="B612" s="19"/>
    </row>
    <row r="613">
      <c r="B613" s="19"/>
    </row>
    <row r="614">
      <c r="B614" s="19"/>
    </row>
    <row r="615">
      <c r="B615" s="19"/>
    </row>
    <row r="616">
      <c r="B616" s="19"/>
    </row>
    <row r="617">
      <c r="B617" s="19"/>
    </row>
    <row r="618">
      <c r="B618" s="19"/>
    </row>
    <row r="619">
      <c r="B619" s="19"/>
    </row>
    <row r="620">
      <c r="B620" s="19"/>
    </row>
    <row r="621">
      <c r="B621" s="19"/>
    </row>
    <row r="622">
      <c r="B622" s="19"/>
    </row>
    <row r="623">
      <c r="B623" s="19"/>
    </row>
    <row r="624">
      <c r="B624" s="19"/>
    </row>
    <row r="625">
      <c r="B625" s="19"/>
    </row>
    <row r="626">
      <c r="B626" s="19"/>
    </row>
    <row r="627">
      <c r="B627" s="19"/>
    </row>
    <row r="628">
      <c r="B628" s="19"/>
    </row>
    <row r="629">
      <c r="B629" s="19"/>
    </row>
    <row r="630">
      <c r="B630" s="19"/>
    </row>
    <row r="631">
      <c r="B631" s="19"/>
    </row>
    <row r="632">
      <c r="B632" s="19"/>
    </row>
    <row r="633">
      <c r="B633" s="19"/>
    </row>
    <row r="634">
      <c r="B634" s="19"/>
    </row>
    <row r="635">
      <c r="B635" s="19"/>
    </row>
    <row r="636">
      <c r="B636" s="19"/>
    </row>
    <row r="637">
      <c r="B637" s="19"/>
    </row>
    <row r="638">
      <c r="B638" s="19"/>
    </row>
    <row r="639">
      <c r="B639" s="19"/>
    </row>
    <row r="640">
      <c r="B640" s="19"/>
    </row>
    <row r="641">
      <c r="B641" s="19"/>
    </row>
    <row r="642">
      <c r="B642" s="19"/>
    </row>
    <row r="643">
      <c r="B643" s="19"/>
    </row>
    <row r="644">
      <c r="B644" s="19"/>
    </row>
    <row r="645">
      <c r="B645" s="19"/>
    </row>
    <row r="646">
      <c r="B646" s="19"/>
    </row>
    <row r="647">
      <c r="B647" s="19"/>
    </row>
    <row r="648">
      <c r="B648" s="19"/>
    </row>
    <row r="649">
      <c r="B649" s="19"/>
    </row>
    <row r="650">
      <c r="B650" s="19"/>
    </row>
    <row r="651">
      <c r="B651" s="19"/>
    </row>
    <row r="652">
      <c r="B652" s="19"/>
    </row>
    <row r="653">
      <c r="B653" s="19"/>
    </row>
    <row r="654">
      <c r="B654" s="19"/>
    </row>
    <row r="655">
      <c r="B655" s="19"/>
    </row>
    <row r="656">
      <c r="B656" s="19"/>
    </row>
    <row r="657">
      <c r="B657" s="19"/>
    </row>
    <row r="658">
      <c r="B658" s="19"/>
    </row>
    <row r="659">
      <c r="B659" s="19"/>
    </row>
    <row r="660">
      <c r="B660" s="19"/>
    </row>
    <row r="661">
      <c r="B661" s="19"/>
    </row>
    <row r="662">
      <c r="B662" s="19"/>
    </row>
    <row r="663">
      <c r="B663" s="19"/>
    </row>
    <row r="664">
      <c r="B664" s="19"/>
    </row>
    <row r="665">
      <c r="B665" s="19"/>
    </row>
    <row r="666">
      <c r="B666" s="19"/>
    </row>
    <row r="667">
      <c r="B667" s="19"/>
    </row>
    <row r="668">
      <c r="B668" s="19"/>
    </row>
    <row r="669">
      <c r="B669" s="19"/>
    </row>
    <row r="670">
      <c r="B670" s="19"/>
    </row>
    <row r="671">
      <c r="B671" s="19"/>
    </row>
    <row r="672">
      <c r="B672" s="19"/>
    </row>
    <row r="673">
      <c r="B673" s="19"/>
    </row>
    <row r="674">
      <c r="B674" s="19"/>
    </row>
    <row r="675">
      <c r="B675" s="19"/>
    </row>
    <row r="676">
      <c r="B676" s="19"/>
    </row>
    <row r="677">
      <c r="B677" s="19"/>
    </row>
    <row r="678">
      <c r="B678" s="19"/>
    </row>
    <row r="679">
      <c r="B679" s="19"/>
    </row>
    <row r="680">
      <c r="B680" s="19"/>
    </row>
    <row r="681">
      <c r="B681" s="19"/>
    </row>
    <row r="682">
      <c r="B682" s="19"/>
    </row>
    <row r="683">
      <c r="B683" s="19"/>
    </row>
    <row r="684">
      <c r="B684" s="19"/>
    </row>
    <row r="685">
      <c r="B685" s="19"/>
    </row>
    <row r="686">
      <c r="B686" s="19"/>
    </row>
    <row r="687">
      <c r="B687" s="19"/>
    </row>
    <row r="688">
      <c r="B688" s="19"/>
    </row>
    <row r="689">
      <c r="B689" s="19"/>
    </row>
    <row r="690">
      <c r="B690" s="19"/>
    </row>
    <row r="691">
      <c r="B691" s="19"/>
    </row>
    <row r="692">
      <c r="B692" s="19"/>
    </row>
    <row r="693">
      <c r="B693" s="19"/>
    </row>
    <row r="694">
      <c r="B694" s="19"/>
    </row>
    <row r="695">
      <c r="B695" s="19"/>
    </row>
    <row r="696">
      <c r="B696" s="19"/>
    </row>
    <row r="697">
      <c r="B697" s="19"/>
    </row>
    <row r="698">
      <c r="B698" s="19"/>
    </row>
    <row r="699">
      <c r="B699" s="19"/>
    </row>
    <row r="700">
      <c r="B700" s="19"/>
    </row>
    <row r="701">
      <c r="B701" s="19"/>
    </row>
    <row r="702">
      <c r="B702" s="19"/>
    </row>
    <row r="703">
      <c r="B703" s="19"/>
    </row>
    <row r="704">
      <c r="B704" s="19"/>
    </row>
    <row r="705">
      <c r="B705" s="19"/>
    </row>
    <row r="706">
      <c r="B706" s="19"/>
    </row>
    <row r="707">
      <c r="B707" s="19"/>
    </row>
    <row r="708">
      <c r="B708" s="19"/>
    </row>
    <row r="709">
      <c r="B709" s="19"/>
    </row>
    <row r="710">
      <c r="B710" s="19"/>
    </row>
    <row r="711">
      <c r="B711" s="19"/>
    </row>
    <row r="712">
      <c r="B712" s="19"/>
    </row>
    <row r="713">
      <c r="B713" s="19"/>
    </row>
    <row r="714">
      <c r="B714" s="19"/>
    </row>
    <row r="715">
      <c r="B715" s="19"/>
    </row>
    <row r="716">
      <c r="B716" s="19"/>
    </row>
    <row r="717">
      <c r="B717" s="19"/>
    </row>
    <row r="718">
      <c r="B718" s="19"/>
    </row>
    <row r="719">
      <c r="B719" s="19"/>
    </row>
    <row r="720">
      <c r="B720" s="19"/>
    </row>
    <row r="721">
      <c r="B721" s="19"/>
    </row>
    <row r="722">
      <c r="B722" s="19"/>
    </row>
    <row r="723">
      <c r="B723" s="19"/>
    </row>
    <row r="724">
      <c r="B724" s="19"/>
    </row>
    <row r="725">
      <c r="B725" s="19"/>
    </row>
    <row r="726">
      <c r="B726" s="19"/>
    </row>
    <row r="727">
      <c r="B727" s="19"/>
    </row>
    <row r="728">
      <c r="B728" s="19"/>
    </row>
    <row r="729">
      <c r="B729" s="19"/>
    </row>
    <row r="730">
      <c r="B730" s="19"/>
    </row>
    <row r="731">
      <c r="B731" s="19"/>
    </row>
    <row r="732">
      <c r="B732" s="19"/>
    </row>
    <row r="733">
      <c r="B733" s="19"/>
    </row>
    <row r="734">
      <c r="B734" s="19"/>
    </row>
    <row r="735">
      <c r="B735" s="19"/>
    </row>
    <row r="736">
      <c r="B736" s="19"/>
    </row>
    <row r="737">
      <c r="B737" s="19"/>
    </row>
    <row r="738">
      <c r="B738" s="19"/>
    </row>
    <row r="739">
      <c r="B739" s="19"/>
    </row>
    <row r="740">
      <c r="B740" s="19"/>
    </row>
    <row r="741">
      <c r="B741" s="19"/>
    </row>
    <row r="742">
      <c r="B742" s="19"/>
    </row>
    <row r="743">
      <c r="B743" s="19"/>
    </row>
    <row r="744">
      <c r="B744" s="19"/>
    </row>
    <row r="745">
      <c r="B745" s="19"/>
    </row>
    <row r="746">
      <c r="B746" s="19"/>
    </row>
    <row r="747">
      <c r="B747" s="19"/>
    </row>
    <row r="748">
      <c r="B748" s="19"/>
    </row>
    <row r="749">
      <c r="B749" s="19"/>
    </row>
    <row r="750">
      <c r="B750" s="19"/>
    </row>
    <row r="751">
      <c r="B751" s="19"/>
    </row>
    <row r="752">
      <c r="B752" s="19"/>
    </row>
    <row r="753">
      <c r="B753" s="19"/>
    </row>
    <row r="754">
      <c r="B754" s="19"/>
    </row>
    <row r="755">
      <c r="B755" s="19"/>
    </row>
    <row r="756">
      <c r="B756" s="19"/>
    </row>
    <row r="757">
      <c r="B757" s="19"/>
    </row>
    <row r="758">
      <c r="B758" s="19"/>
    </row>
    <row r="759">
      <c r="B759" s="19"/>
    </row>
    <row r="760">
      <c r="B760" s="19"/>
    </row>
    <row r="761">
      <c r="B761" s="19"/>
    </row>
    <row r="762">
      <c r="B762" s="19"/>
    </row>
    <row r="763">
      <c r="B763" s="19"/>
    </row>
    <row r="764">
      <c r="B764" s="19"/>
    </row>
    <row r="765">
      <c r="B765" s="19"/>
    </row>
    <row r="766">
      <c r="B766" s="19"/>
    </row>
    <row r="767">
      <c r="B767" s="19"/>
    </row>
    <row r="768">
      <c r="B768" s="19"/>
    </row>
    <row r="769">
      <c r="B769" s="19"/>
    </row>
    <row r="770">
      <c r="B770" s="19"/>
    </row>
    <row r="771">
      <c r="B771" s="19"/>
    </row>
    <row r="772">
      <c r="B772" s="19"/>
    </row>
    <row r="773">
      <c r="B773" s="19"/>
    </row>
    <row r="774">
      <c r="B774" s="19"/>
    </row>
    <row r="775">
      <c r="B775" s="19"/>
    </row>
    <row r="776">
      <c r="B776" s="19"/>
    </row>
    <row r="777">
      <c r="B777" s="19"/>
    </row>
    <row r="778">
      <c r="B778" s="19"/>
    </row>
    <row r="779">
      <c r="B779" s="19"/>
    </row>
    <row r="780">
      <c r="B780" s="19"/>
    </row>
    <row r="781">
      <c r="B781" s="19"/>
    </row>
    <row r="782">
      <c r="B782" s="19"/>
    </row>
    <row r="783">
      <c r="B783" s="19"/>
    </row>
    <row r="784">
      <c r="B784" s="19"/>
    </row>
    <row r="785">
      <c r="B785" s="19"/>
    </row>
    <row r="786">
      <c r="B786" s="19"/>
    </row>
    <row r="787">
      <c r="B787" s="19"/>
    </row>
    <row r="788">
      <c r="B788" s="19"/>
    </row>
    <row r="789">
      <c r="B789" s="19"/>
    </row>
    <row r="790">
      <c r="B790" s="19"/>
    </row>
    <row r="791">
      <c r="B791" s="19"/>
    </row>
    <row r="792">
      <c r="B792" s="19"/>
    </row>
    <row r="793">
      <c r="B793" s="19"/>
    </row>
    <row r="794">
      <c r="B794" s="19"/>
    </row>
    <row r="795">
      <c r="B795" s="19"/>
    </row>
    <row r="796">
      <c r="B796" s="19"/>
    </row>
    <row r="797">
      <c r="B797" s="19"/>
    </row>
    <row r="798">
      <c r="B798" s="19"/>
    </row>
    <row r="799">
      <c r="B799" s="19"/>
    </row>
    <row r="800">
      <c r="B800" s="19"/>
    </row>
    <row r="801">
      <c r="B801" s="19"/>
    </row>
    <row r="802">
      <c r="B802" s="19"/>
    </row>
    <row r="803">
      <c r="B803" s="19"/>
    </row>
    <row r="804">
      <c r="B804" s="19"/>
    </row>
    <row r="805">
      <c r="B805" s="19"/>
    </row>
    <row r="806">
      <c r="B806" s="19"/>
    </row>
    <row r="807">
      <c r="B807" s="19"/>
    </row>
    <row r="808">
      <c r="B808" s="19"/>
    </row>
    <row r="809">
      <c r="B809" s="19"/>
    </row>
    <row r="810">
      <c r="B810" s="19"/>
    </row>
    <row r="811">
      <c r="B811" s="19"/>
    </row>
    <row r="812">
      <c r="B812" s="19"/>
    </row>
    <row r="813">
      <c r="B813" s="19"/>
    </row>
    <row r="814">
      <c r="B814" s="19"/>
    </row>
    <row r="815">
      <c r="B815" s="19"/>
    </row>
    <row r="816">
      <c r="B816" s="19"/>
    </row>
    <row r="817">
      <c r="B817" s="19"/>
    </row>
    <row r="818">
      <c r="B818" s="19"/>
    </row>
    <row r="819">
      <c r="B819" s="19"/>
    </row>
    <row r="820">
      <c r="B820" s="19"/>
    </row>
    <row r="821">
      <c r="B821" s="19"/>
    </row>
    <row r="822">
      <c r="B822" s="19"/>
    </row>
    <row r="823">
      <c r="B823" s="19"/>
    </row>
    <row r="824">
      <c r="B824" s="19"/>
    </row>
    <row r="825">
      <c r="B825" s="19"/>
    </row>
    <row r="826">
      <c r="B826" s="19"/>
    </row>
    <row r="827">
      <c r="B827" s="19"/>
    </row>
    <row r="828">
      <c r="B828" s="19"/>
    </row>
    <row r="829">
      <c r="B829" s="19"/>
    </row>
    <row r="830">
      <c r="B830" s="19"/>
    </row>
    <row r="831">
      <c r="B831" s="19"/>
    </row>
    <row r="832">
      <c r="B832" s="19"/>
    </row>
    <row r="833">
      <c r="B833" s="19"/>
    </row>
    <row r="834">
      <c r="B834" s="19"/>
    </row>
    <row r="835">
      <c r="B835" s="19"/>
    </row>
    <row r="836">
      <c r="B836" s="19"/>
    </row>
    <row r="837">
      <c r="B837" s="19"/>
    </row>
    <row r="838">
      <c r="B838" s="19"/>
    </row>
    <row r="839">
      <c r="B839" s="19"/>
    </row>
    <row r="840">
      <c r="B840" s="19"/>
    </row>
    <row r="841">
      <c r="B841" s="19"/>
    </row>
    <row r="842">
      <c r="B842" s="19"/>
    </row>
    <row r="843">
      <c r="B843" s="19"/>
    </row>
    <row r="844">
      <c r="B844" s="19"/>
    </row>
    <row r="845">
      <c r="B845" s="19"/>
    </row>
    <row r="846">
      <c r="B846" s="19"/>
    </row>
    <row r="847">
      <c r="B847" s="19"/>
    </row>
    <row r="848">
      <c r="B848" s="19"/>
    </row>
    <row r="849">
      <c r="B849" s="19"/>
    </row>
    <row r="850">
      <c r="B850" s="19"/>
    </row>
    <row r="851">
      <c r="B851" s="19"/>
    </row>
    <row r="852">
      <c r="B852" s="19"/>
    </row>
    <row r="853">
      <c r="B853" s="19"/>
    </row>
    <row r="854">
      <c r="B854" s="19"/>
    </row>
    <row r="855">
      <c r="B855" s="19"/>
    </row>
    <row r="856">
      <c r="B856" s="19"/>
    </row>
    <row r="857">
      <c r="B857" s="19"/>
    </row>
    <row r="858">
      <c r="B858" s="19"/>
    </row>
    <row r="859">
      <c r="B859" s="19"/>
    </row>
    <row r="860">
      <c r="B860" s="19"/>
    </row>
    <row r="861">
      <c r="B861" s="19"/>
    </row>
    <row r="862">
      <c r="B862" s="19"/>
    </row>
    <row r="863">
      <c r="B863" s="19"/>
    </row>
    <row r="864">
      <c r="B864" s="19"/>
    </row>
    <row r="865">
      <c r="B865" s="19"/>
    </row>
    <row r="866">
      <c r="B866" s="19"/>
    </row>
    <row r="867">
      <c r="B867" s="19"/>
    </row>
    <row r="868">
      <c r="B868" s="19"/>
    </row>
    <row r="869">
      <c r="B869" s="19"/>
    </row>
    <row r="870">
      <c r="B870" s="19"/>
    </row>
    <row r="871">
      <c r="B871" s="19"/>
    </row>
    <row r="872">
      <c r="B872" s="19"/>
    </row>
    <row r="873">
      <c r="B873" s="19"/>
    </row>
    <row r="874">
      <c r="B874" s="19"/>
    </row>
    <row r="875">
      <c r="B875" s="19"/>
    </row>
    <row r="876">
      <c r="B876" s="19"/>
    </row>
    <row r="877">
      <c r="B877" s="19"/>
    </row>
    <row r="878">
      <c r="B878" s="19"/>
    </row>
    <row r="879">
      <c r="B879" s="19"/>
    </row>
    <row r="880">
      <c r="B880" s="19"/>
    </row>
    <row r="881">
      <c r="B881" s="19"/>
    </row>
    <row r="882">
      <c r="B882" s="19"/>
    </row>
    <row r="883">
      <c r="B883" s="19"/>
    </row>
    <row r="884">
      <c r="B884" s="19"/>
    </row>
    <row r="885">
      <c r="B885" s="19"/>
    </row>
    <row r="886">
      <c r="B886" s="19"/>
    </row>
    <row r="887">
      <c r="B887" s="19"/>
    </row>
    <row r="888">
      <c r="B888" s="19"/>
    </row>
    <row r="889">
      <c r="B889" s="19"/>
    </row>
    <row r="890">
      <c r="B890" s="19"/>
    </row>
    <row r="891">
      <c r="B891" s="19"/>
    </row>
    <row r="892">
      <c r="B892" s="19"/>
    </row>
    <row r="893">
      <c r="B893" s="19"/>
    </row>
    <row r="894">
      <c r="B894" s="19"/>
    </row>
    <row r="895">
      <c r="B895" s="19"/>
    </row>
    <row r="896">
      <c r="B896" s="19"/>
    </row>
    <row r="897">
      <c r="B897" s="19"/>
    </row>
    <row r="898">
      <c r="B898" s="19"/>
    </row>
    <row r="899">
      <c r="B899" s="19"/>
    </row>
    <row r="900">
      <c r="B900" s="19"/>
    </row>
    <row r="901">
      <c r="B901" s="19"/>
    </row>
    <row r="902">
      <c r="B902" s="19"/>
    </row>
    <row r="903">
      <c r="B903" s="19"/>
    </row>
    <row r="904">
      <c r="B904" s="19"/>
    </row>
    <row r="905">
      <c r="B905" s="19"/>
    </row>
    <row r="906">
      <c r="B906" s="19"/>
    </row>
    <row r="907">
      <c r="B907" s="19"/>
    </row>
    <row r="908">
      <c r="B908" s="19"/>
    </row>
    <row r="909">
      <c r="B909" s="19"/>
    </row>
    <row r="910">
      <c r="B910" s="19"/>
    </row>
    <row r="911">
      <c r="B911" s="19"/>
    </row>
    <row r="912">
      <c r="B912" s="19"/>
    </row>
    <row r="913">
      <c r="B913" s="19"/>
    </row>
    <row r="914">
      <c r="B914" s="19"/>
    </row>
    <row r="915">
      <c r="B915" s="19"/>
    </row>
    <row r="916">
      <c r="B916" s="19"/>
    </row>
    <row r="917">
      <c r="B917" s="19"/>
    </row>
    <row r="918">
      <c r="B918" s="19"/>
    </row>
    <row r="919">
      <c r="B919" s="19"/>
    </row>
    <row r="920">
      <c r="B920" s="19"/>
    </row>
    <row r="921">
      <c r="B921" s="19"/>
    </row>
    <row r="922">
      <c r="B922" s="19"/>
    </row>
    <row r="923">
      <c r="B923" s="19"/>
    </row>
    <row r="924">
      <c r="B924" s="19"/>
    </row>
    <row r="925">
      <c r="B925" s="19"/>
    </row>
    <row r="926">
      <c r="B926" s="19"/>
    </row>
    <row r="927">
      <c r="B927" s="19"/>
    </row>
    <row r="928">
      <c r="B928" s="19"/>
    </row>
    <row r="929">
      <c r="B929" s="19"/>
    </row>
    <row r="930">
      <c r="B930" s="19"/>
    </row>
    <row r="931">
      <c r="B931" s="19"/>
    </row>
    <row r="932">
      <c r="B932" s="19"/>
    </row>
    <row r="933">
      <c r="B933" s="19"/>
    </row>
    <row r="934">
      <c r="B934" s="19"/>
    </row>
    <row r="935">
      <c r="B935" s="19"/>
    </row>
    <row r="936">
      <c r="B936" s="19"/>
    </row>
    <row r="937">
      <c r="B937" s="19"/>
    </row>
    <row r="938">
      <c r="B938" s="19"/>
    </row>
    <row r="939">
      <c r="B939" s="19"/>
    </row>
    <row r="940">
      <c r="B940" s="19"/>
    </row>
    <row r="941">
      <c r="B941" s="19"/>
    </row>
    <row r="942">
      <c r="B942" s="19"/>
    </row>
    <row r="943">
      <c r="B943" s="19"/>
    </row>
    <row r="944">
      <c r="B944" s="19"/>
    </row>
    <row r="945">
      <c r="B945" s="19"/>
    </row>
    <row r="946">
      <c r="B946" s="19"/>
    </row>
    <row r="947">
      <c r="B947" s="19"/>
    </row>
    <row r="948">
      <c r="B948" s="19"/>
    </row>
    <row r="949">
      <c r="B949" s="19"/>
    </row>
    <row r="950">
      <c r="B950" s="19"/>
    </row>
    <row r="951">
      <c r="B951" s="19"/>
    </row>
    <row r="952">
      <c r="B952" s="19"/>
    </row>
    <row r="953">
      <c r="B953" s="19"/>
    </row>
    <row r="954">
      <c r="B954" s="19"/>
    </row>
    <row r="955">
      <c r="B955" s="19"/>
    </row>
    <row r="956">
      <c r="B956" s="19"/>
    </row>
    <row r="957">
      <c r="B957" s="19"/>
    </row>
    <row r="958">
      <c r="B958" s="19"/>
    </row>
    <row r="959">
      <c r="B959" s="19"/>
    </row>
    <row r="960">
      <c r="B960" s="19"/>
    </row>
    <row r="961">
      <c r="B961" s="19"/>
    </row>
    <row r="962">
      <c r="B962" s="19"/>
    </row>
    <row r="963">
      <c r="B963" s="19"/>
    </row>
    <row r="964">
      <c r="B964" s="19"/>
    </row>
    <row r="965">
      <c r="B965" s="19"/>
    </row>
    <row r="966">
      <c r="B966" s="19"/>
    </row>
    <row r="967">
      <c r="B967" s="19"/>
    </row>
    <row r="968">
      <c r="B968" s="19"/>
    </row>
    <row r="969">
      <c r="B969" s="19"/>
    </row>
    <row r="970">
      <c r="B970" s="19"/>
    </row>
    <row r="971">
      <c r="B971" s="19"/>
    </row>
    <row r="972">
      <c r="B972" s="19"/>
    </row>
    <row r="973">
      <c r="B973" s="19"/>
    </row>
    <row r="974">
      <c r="B974" s="19"/>
    </row>
    <row r="975">
      <c r="B975" s="19"/>
    </row>
    <row r="976">
      <c r="B976" s="19"/>
    </row>
    <row r="977">
      <c r="B977" s="19"/>
    </row>
    <row r="978">
      <c r="B978" s="19"/>
    </row>
    <row r="979">
      <c r="B979" s="19"/>
    </row>
    <row r="980">
      <c r="B980" s="19"/>
    </row>
    <row r="981">
      <c r="B981" s="19"/>
    </row>
    <row r="982">
      <c r="B982" s="19"/>
    </row>
    <row r="983">
      <c r="B983" s="19"/>
    </row>
    <row r="984">
      <c r="B984" s="19"/>
    </row>
    <row r="985">
      <c r="B985" s="19"/>
    </row>
    <row r="986">
      <c r="B986" s="19"/>
    </row>
    <row r="987">
      <c r="B987" s="19"/>
    </row>
    <row r="988">
      <c r="B988" s="19"/>
    </row>
    <row r="989">
      <c r="B989" s="19"/>
    </row>
    <row r="990">
      <c r="B990" s="19"/>
    </row>
    <row r="991">
      <c r="B991" s="19"/>
    </row>
    <row r="992">
      <c r="B992" s="19"/>
    </row>
    <row r="993">
      <c r="B993" s="19"/>
    </row>
    <row r="994">
      <c r="B994" s="19"/>
    </row>
    <row r="995">
      <c r="B995" s="19"/>
    </row>
    <row r="996">
      <c r="B996" s="19"/>
    </row>
    <row r="997">
      <c r="B997" s="19"/>
    </row>
    <row r="998">
      <c r="B998" s="19"/>
    </row>
    <row r="999">
      <c r="B999" s="19"/>
    </row>
    <row r="1000">
      <c r="B1000" s="19"/>
    </row>
  </sheetData>
  <drawing r:id="rId1"/>
</worksheet>
</file>