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10" sheetId="1" r:id="rId4"/>
    <sheet state="visible" name="Analysis" sheetId="2" r:id="rId5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6">
    <font>
      <sz val="10.0"/>
      <color rgb="FF000000"/>
      <name val="Arial"/>
      <scheme val="minor"/>
    </font>
    <font>
      <sz val="24.0"/>
      <color theme="1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EFEFEF"/>
        <bgColor rgb="FFEFEFEF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3" fontId="2" numFmtId="0" xfId="0" applyAlignment="1" applyBorder="1" applyFill="1" applyFont="1">
      <alignment vertical="bottom"/>
    </xf>
    <xf borderId="2" fillId="3" fontId="2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3" fillId="0" fontId="3" numFmtId="0" xfId="0" applyAlignment="1" applyBorder="1" applyFont="1">
      <alignment vertical="bottom"/>
    </xf>
    <xf borderId="4" fillId="0" fontId="3" numFmtId="1" xfId="0" applyAlignment="1" applyBorder="1" applyFont="1" applyNumberFormat="1">
      <alignment horizontal="right" vertical="bottom"/>
    </xf>
    <xf borderId="4" fillId="0" fontId="3" numFmtId="164" xfId="0" applyAlignment="1" applyBorder="1" applyFont="1" applyNumberFormat="1">
      <alignment horizontal="right" vertical="bottom"/>
    </xf>
    <xf borderId="5" fillId="0" fontId="3" numFmtId="0" xfId="0" applyAlignment="1" applyBorder="1" applyFont="1">
      <alignment vertical="bottom"/>
    </xf>
    <xf borderId="6" fillId="0" fontId="3" numFmtId="1" xfId="0" applyAlignment="1" applyBorder="1" applyFont="1" applyNumberFormat="1">
      <alignment horizontal="right" vertical="bottom"/>
    </xf>
    <xf borderId="6" fillId="0" fontId="3" numFmtId="164" xfId="0" applyAlignment="1" applyBorder="1" applyFont="1" applyNumberFormat="1">
      <alignment horizontal="right" vertical="bottom"/>
    </xf>
    <xf borderId="0" fillId="3" fontId="4" numFmtId="0" xfId="0" applyAlignment="1" applyFont="1">
      <alignment vertical="center"/>
    </xf>
    <xf borderId="0" fillId="3" fontId="4" numFmtId="0" xfId="0" applyAlignment="1" applyFont="1">
      <alignment horizontal="center" vertical="center"/>
    </xf>
    <xf borderId="0" fillId="3" fontId="4" numFmtId="165" xfId="0" applyAlignment="1" applyFont="1" applyNumberFormat="1">
      <alignment horizontal="right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5" numFmtId="1" xfId="0" applyAlignment="1" applyFont="1" applyNumberFormat="1">
      <alignment horizontal="center"/>
    </xf>
    <xf borderId="0" fillId="0" fontId="5" numFmtId="165" xfId="0" applyFont="1" applyNumberFormat="1"/>
    <xf borderId="0" fillId="4" fontId="5" numFmtId="0" xfId="0" applyFill="1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5.25"/>
    <col customWidth="1" min="2" max="2" width="13.5"/>
    <col customWidth="1" min="3" max="3" width="2.13"/>
    <col customWidth="1" min="4" max="4" width="25.13"/>
    <col customWidth="1" min="5" max="5" width="21.0"/>
    <col customWidth="1" min="6" max="6" width="2.25"/>
    <col customWidth="1" min="7" max="7" width="25.25"/>
    <col customWidth="1" min="8" max="8" width="18.88"/>
  </cols>
  <sheetData>
    <row r="1">
      <c r="A1" s="1" t="str">
        <f>IFERROR(__xludf.DUMMYFUNCTION("IMPORTRANGE(""1xyvYLqlcO65bFEvG3xtVUDffMyPLFbJoVB3xnb9sLk8"",""Top 10!A1:H12"")"),"TOP 10")</f>
        <v>TOP 10</v>
      </c>
    </row>
    <row r="2">
      <c r="A2" s="2" t="str">
        <f>IFERROR(__xludf.DUMMYFUNCTION("""COMPUTED_VALUE""")," Lenders")</f>
        <v> Lenders</v>
      </c>
      <c r="B2" s="3" t="str">
        <f>IFERROR(__xludf.DUMMYFUNCTION("""COMPUTED_VALUE""")," Total Units")</f>
        <v> Total Units</v>
      </c>
      <c r="C2" s="4"/>
      <c r="D2" s="2" t="str">
        <f>IFERROR(__xludf.DUMMYFUNCTION("""COMPUTED_VALUE""")," Lenders")</f>
        <v> Lenders</v>
      </c>
      <c r="E2" s="3" t="str">
        <f>IFERROR(__xludf.DUMMYFUNCTION("""COMPUTED_VALUE""")," Total Front Gross")</f>
        <v> Total Front Gross</v>
      </c>
      <c r="F2" s="4"/>
      <c r="G2" s="2" t="str">
        <f>IFERROR(__xludf.DUMMYFUNCTION("""COMPUTED_VALUE""")," Lenders")</f>
        <v> Lenders</v>
      </c>
      <c r="H2" s="3" t="str">
        <f>IFERROR(__xludf.DUMMYFUNCTION("""COMPUTED_VALUE""")," Total F&amp;I Gross")</f>
        <v> Total F&amp;I Gross</v>
      </c>
    </row>
    <row r="3">
      <c r="A3" s="5" t="str">
        <f>IFERROR(__xludf.DUMMYFUNCTION("""COMPUTED_VALUE"""),"CASH")</f>
        <v>CASH</v>
      </c>
      <c r="B3" s="6">
        <f>IFERROR(__xludf.DUMMYFUNCTION("""COMPUTED_VALUE"""),102.0)</f>
        <v>102</v>
      </c>
      <c r="C3" s="4"/>
      <c r="D3" s="5" t="str">
        <f>IFERROR(__xludf.DUMMYFUNCTION("""COMPUTED_VALUE"""),"ALLY FINANCIAL")</f>
        <v>ALLY FINANCIAL</v>
      </c>
      <c r="E3" s="7">
        <f>IFERROR(__xludf.DUMMYFUNCTION("""COMPUTED_VALUE"""),57511.44000000001)</f>
        <v>57511.44</v>
      </c>
      <c r="F3" s="4"/>
      <c r="G3" s="5" t="str">
        <f>IFERROR(__xludf.DUMMYFUNCTION("""COMPUTED_VALUE"""),"KIA MOTORS FINANCE")</f>
        <v>KIA MOTORS FINANCE</v>
      </c>
      <c r="H3" s="7">
        <f>IFERROR(__xludf.DUMMYFUNCTION("""COMPUTED_VALUE"""),232887.94)</f>
        <v>232887.94</v>
      </c>
    </row>
    <row r="4">
      <c r="A4" s="5" t="str">
        <f>IFERROR(__xludf.DUMMYFUNCTION("""COMPUTED_VALUE"""),"KIA MOTORS FINANCE")</f>
        <v>KIA MOTORS FINANCE</v>
      </c>
      <c r="B4" s="6">
        <f>IFERROR(__xludf.DUMMYFUNCTION("""COMPUTED_VALUE"""),101.0)</f>
        <v>101</v>
      </c>
      <c r="C4" s="4"/>
      <c r="D4" s="5" t="str">
        <f>IFERROR(__xludf.DUMMYFUNCTION("""COMPUTED_VALUE"""),"CASH")</f>
        <v>CASH</v>
      </c>
      <c r="E4" s="7">
        <f>IFERROR(__xludf.DUMMYFUNCTION("""COMPUTED_VALUE"""),43852.06)</f>
        <v>43852.06</v>
      </c>
      <c r="F4" s="4"/>
      <c r="G4" s="5" t="str">
        <f>IFERROR(__xludf.DUMMYFUNCTION("""COMPUTED_VALUE"""),"NMAC")</f>
        <v>NMAC</v>
      </c>
      <c r="H4" s="7">
        <f>IFERROR(__xludf.DUMMYFUNCTION("""COMPUTED_VALUE"""),183744.27)</f>
        <v>183744.27</v>
      </c>
    </row>
    <row r="5">
      <c r="A5" s="5" t="str">
        <f>IFERROR(__xludf.DUMMYFUNCTION("""COMPUTED_VALUE"""),"NMAC")</f>
        <v>NMAC</v>
      </c>
      <c r="B5" s="6">
        <f>IFERROR(__xludf.DUMMYFUNCTION("""COMPUTED_VALUE"""),68.0)</f>
        <v>68</v>
      </c>
      <c r="C5" s="4"/>
      <c r="D5" s="5" t="str">
        <f>IFERROR(__xludf.DUMMYFUNCTION("""COMPUTED_VALUE"""),"TRUIST BANK")</f>
        <v>TRUIST BANK</v>
      </c>
      <c r="E5" s="7">
        <f>IFERROR(__xludf.DUMMYFUNCTION("""COMPUTED_VALUE"""),39544.41)</f>
        <v>39544.41</v>
      </c>
      <c r="F5" s="4"/>
      <c r="G5" s="5" t="str">
        <f>IFERROR(__xludf.DUMMYFUNCTION("""COMPUTED_VALUE"""),"CAPITAL ONE")</f>
        <v>CAPITAL ONE</v>
      </c>
      <c r="H5" s="7">
        <f>IFERROR(__xludf.DUMMYFUNCTION("""COMPUTED_VALUE"""),135610.37999999998)</f>
        <v>135610.38</v>
      </c>
    </row>
    <row r="6">
      <c r="A6" s="5" t="str">
        <f>IFERROR(__xludf.DUMMYFUNCTION("""COMPUTED_VALUE"""),"CAPITAL ONE")</f>
        <v>CAPITAL ONE</v>
      </c>
      <c r="B6" s="6">
        <f>IFERROR(__xludf.DUMMYFUNCTION("""COMPUTED_VALUE"""),68.0)</f>
        <v>68</v>
      </c>
      <c r="C6" s="4"/>
      <c r="D6" s="5" t="str">
        <f>IFERROR(__xludf.DUMMYFUNCTION("""COMPUTED_VALUE"""),"HYUNDAI MOTOR FINANCE")</f>
        <v>HYUNDAI MOTOR FINANCE</v>
      </c>
      <c r="E6" s="7">
        <f>IFERROR(__xludf.DUMMYFUNCTION("""COMPUTED_VALUE"""),34022.05)</f>
        <v>34022.05</v>
      </c>
      <c r="F6" s="4"/>
      <c r="G6" s="5" t="str">
        <f>IFERROR(__xludf.DUMMYFUNCTION("""COMPUTED_VALUE"""),"SANTANDER CONSUMER USA")</f>
        <v>SANTANDER CONSUMER USA</v>
      </c>
      <c r="H6" s="7">
        <f>IFERROR(__xludf.DUMMYFUNCTION("""COMPUTED_VALUE"""),123811.04)</f>
        <v>123811.04</v>
      </c>
    </row>
    <row r="7">
      <c r="A7" s="5" t="str">
        <f>IFERROR(__xludf.DUMMYFUNCTION("""COMPUTED_VALUE"""),"SANTANDER CONSUMER USA")</f>
        <v>SANTANDER CONSUMER USA</v>
      </c>
      <c r="B7" s="6">
        <f>IFERROR(__xludf.DUMMYFUNCTION("""COMPUTED_VALUE"""),55.0)</f>
        <v>55</v>
      </c>
      <c r="C7" s="4"/>
      <c r="D7" s="5" t="str">
        <f>IFERROR(__xludf.DUMMYFUNCTION("""COMPUTED_VALUE"""),"EXETER FINANCE CORPORATION")</f>
        <v>EXETER FINANCE CORPORATION</v>
      </c>
      <c r="E7" s="7">
        <f>IFERROR(__xludf.DUMMYFUNCTION("""COMPUTED_VALUE"""),33454.06)</f>
        <v>33454.06</v>
      </c>
      <c r="F7" s="4"/>
      <c r="G7" s="5" t="str">
        <f>IFERROR(__xludf.DUMMYFUNCTION("""COMPUTED_VALUE"""),"ALLY FINANCIAL")</f>
        <v>ALLY FINANCIAL</v>
      </c>
      <c r="H7" s="7">
        <f>IFERROR(__xludf.DUMMYFUNCTION("""COMPUTED_VALUE"""),111904.28)</f>
        <v>111904.28</v>
      </c>
    </row>
    <row r="8">
      <c r="A8" s="5" t="str">
        <f>IFERROR(__xludf.DUMMYFUNCTION("""COMPUTED_VALUE"""),"ALLY FINANCIAL")</f>
        <v>ALLY FINANCIAL</v>
      </c>
      <c r="B8" s="6">
        <f>IFERROR(__xludf.DUMMYFUNCTION("""COMPUTED_VALUE"""),41.0)</f>
        <v>41</v>
      </c>
      <c r="C8" s="4"/>
      <c r="D8" s="5" t="str">
        <f>IFERROR(__xludf.DUMMYFUNCTION("""COMPUTED_VALUE"""),"KIA MOTORS FINANCE")</f>
        <v>KIA MOTORS FINANCE</v>
      </c>
      <c r="E8" s="7">
        <f>IFERROR(__xludf.DUMMYFUNCTION("""COMPUTED_VALUE"""),31408.070000000003)</f>
        <v>31408.07</v>
      </c>
      <c r="F8" s="4"/>
      <c r="G8" s="5" t="str">
        <f>IFERROR(__xludf.DUMMYFUNCTION("""COMPUTED_VALUE"""),"TRUIST BANK")</f>
        <v>TRUIST BANK</v>
      </c>
      <c r="H8" s="7">
        <f>IFERROR(__xludf.DUMMYFUNCTION("""COMPUTED_VALUE"""),99662.47)</f>
        <v>99662.47</v>
      </c>
    </row>
    <row r="9">
      <c r="A9" s="5" t="str">
        <f>IFERROR(__xludf.DUMMYFUNCTION("""COMPUTED_VALUE"""),"EXETER FINANCE CORPORATION")</f>
        <v>EXETER FINANCE CORPORATION</v>
      </c>
      <c r="B9" s="6">
        <f>IFERROR(__xludf.DUMMYFUNCTION("""COMPUTED_VALUE"""),33.0)</f>
        <v>33</v>
      </c>
      <c r="C9" s="4"/>
      <c r="D9" s="5" t="str">
        <f>IFERROR(__xludf.DUMMYFUNCTION("""COMPUTED_VALUE"""),"CAPITAL ONE")</f>
        <v>CAPITAL ONE</v>
      </c>
      <c r="E9" s="7">
        <f>IFERROR(__xludf.DUMMYFUNCTION("""COMPUTED_VALUE"""),30336.300000000003)</f>
        <v>30336.3</v>
      </c>
      <c r="F9" s="4"/>
      <c r="G9" s="5" t="str">
        <f>IFERROR(__xludf.DUMMYFUNCTION("""COMPUTED_VALUE"""),"WELLS FARGO AUTO")</f>
        <v>WELLS FARGO AUTO</v>
      </c>
      <c r="H9" s="7">
        <f>IFERROR(__xludf.DUMMYFUNCTION("""COMPUTED_VALUE"""),59747.81999999999)</f>
        <v>59747.82</v>
      </c>
    </row>
    <row r="10">
      <c r="A10" s="5" t="str">
        <f>IFERROR(__xludf.DUMMYFUNCTION("""COMPUTED_VALUE"""),"TRUIST BANK")</f>
        <v>TRUIST BANK</v>
      </c>
      <c r="B10" s="6">
        <f>IFERROR(__xludf.DUMMYFUNCTION("""COMPUTED_VALUE"""),32.0)</f>
        <v>32</v>
      </c>
      <c r="C10" s="4"/>
      <c r="D10" s="5" t="str">
        <f>IFERROR(__xludf.DUMMYFUNCTION("""COMPUTED_VALUE"""),"EASTMAN CU")</f>
        <v>EASTMAN CU</v>
      </c>
      <c r="E10" s="7">
        <f>IFERROR(__xludf.DUMMYFUNCTION("""COMPUTED_VALUE"""),26243.079999999998)</f>
        <v>26243.08</v>
      </c>
      <c r="F10" s="4"/>
      <c r="G10" s="5" t="str">
        <f>IFERROR(__xludf.DUMMYFUNCTION("""COMPUTED_VALUE"""),"EASTMAN CU")</f>
        <v>EASTMAN CU</v>
      </c>
      <c r="H10" s="7">
        <f>IFERROR(__xludf.DUMMYFUNCTION("""COMPUTED_VALUE"""),54792.880000000005)</f>
        <v>54792.88</v>
      </c>
    </row>
    <row r="11">
      <c r="A11" s="5" t="str">
        <f>IFERROR(__xludf.DUMMYFUNCTION("""COMPUTED_VALUE"""),"GLOBAL LENDING SERVICES ")</f>
        <v>GLOBAL LENDING SERVICES </v>
      </c>
      <c r="B11" s="6">
        <f>IFERROR(__xludf.DUMMYFUNCTION("""COMPUTED_VALUE"""),27.0)</f>
        <v>27</v>
      </c>
      <c r="C11" s="4"/>
      <c r="D11" s="5" t="str">
        <f>IFERROR(__xludf.DUMMYFUNCTION("""COMPUTED_VALUE"""),"REGIONAL ACCEPTANCE CORPORATION")</f>
        <v>REGIONAL ACCEPTANCE CORPORATION</v>
      </c>
      <c r="E11" s="7">
        <f>IFERROR(__xludf.DUMMYFUNCTION("""COMPUTED_VALUE"""),24882.75)</f>
        <v>24882.75</v>
      </c>
      <c r="F11" s="4"/>
      <c r="G11" s="5" t="str">
        <f>IFERROR(__xludf.DUMMYFUNCTION("""COMPUTED_VALUE"""),"GLOBAL LENDING SERVICES ")</f>
        <v>GLOBAL LENDING SERVICES </v>
      </c>
      <c r="H11" s="7">
        <f>IFERROR(__xludf.DUMMYFUNCTION("""COMPUTED_VALUE"""),53028.0)</f>
        <v>53028</v>
      </c>
    </row>
    <row r="12">
      <c r="A12" s="8" t="str">
        <f>IFERROR(__xludf.DUMMYFUNCTION("""COMPUTED_VALUE"""),"HYUNDAI MOTOR FINANCE")</f>
        <v>HYUNDAI MOTOR FINANCE</v>
      </c>
      <c r="B12" s="9">
        <f>IFERROR(__xludf.DUMMYFUNCTION("""COMPUTED_VALUE"""),25.0)</f>
        <v>25</v>
      </c>
      <c r="C12" s="4"/>
      <c r="D12" s="8" t="str">
        <f>IFERROR(__xludf.DUMMYFUNCTION("""COMPUTED_VALUE"""),"SANTANDER CONSUMER USA")</f>
        <v>SANTANDER CONSUMER USA</v>
      </c>
      <c r="E12" s="10">
        <f>IFERROR(__xludf.DUMMYFUNCTION("""COMPUTED_VALUE"""),24516.770000000004)</f>
        <v>24516.77</v>
      </c>
      <c r="F12" s="4"/>
      <c r="G12" s="8" t="str">
        <f>IFERROR(__xludf.DUMMYFUNCTION("""COMPUTED_VALUE"""),"RED RIVER FCU")</f>
        <v>RED RIVER FCU</v>
      </c>
      <c r="H12" s="10">
        <f>IFERROR(__xludf.DUMMYFUNCTION("""COMPUTED_VALUE"""),47445.810000000005)</f>
        <v>47445.81</v>
      </c>
    </row>
  </sheetData>
  <mergeCells count="1">
    <mergeCell ref="A1:H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6.5"/>
    <col customWidth="1" min="2" max="2" width="10.0"/>
    <col customWidth="1" min="3" max="3" width="13.0"/>
    <col customWidth="1" min="4" max="8" width="11.38"/>
  </cols>
  <sheetData>
    <row r="1" ht="22.5" customHeight="1">
      <c r="A1" s="11" t="str">
        <f>IFERROR(__xludf.DUMMYFUNCTION("IMPORTRANGE(""1xyvYLqlcO65bFEvG3xtVUDffMyPLFbJoVB3xnb9sLk8"",""Analysis - PRU!A2:H100"")"),"Lenders")</f>
        <v>Lenders</v>
      </c>
      <c r="B1" s="12" t="str">
        <f>IFERROR(__xludf.DUMMYFUNCTION("""COMPUTED_VALUE"""),"Total Units")</f>
        <v>Total Units</v>
      </c>
      <c r="C1" s="13" t="str">
        <f>IFERROR(__xludf.DUMMYFUNCTION("""COMPUTED_VALUE"""),"Front PVR")</f>
        <v>Front PVR</v>
      </c>
      <c r="D1" s="13" t="str">
        <f>IFERROR(__xludf.DUMMYFUNCTION("""COMPUTED_VALUE"""),"Front Gross")</f>
        <v>Front Gross</v>
      </c>
      <c r="E1" s="13" t="str">
        <f>IFERROR(__xludf.DUMMYFUNCTION("""COMPUTED_VALUE"""),"F&amp;I PVR")</f>
        <v>F&amp;I PVR</v>
      </c>
      <c r="F1" s="13" t="str">
        <f>IFERROR(__xludf.DUMMYFUNCTION("""COMPUTED_VALUE"""),"F&amp;I Gross")</f>
        <v>F&amp;I Gross</v>
      </c>
      <c r="G1" s="13" t="str">
        <f>IFERROR(__xludf.DUMMYFUNCTION("""COMPUTED_VALUE"""),"Total PVR")</f>
        <v>Total PVR</v>
      </c>
      <c r="H1" s="13" t="str">
        <f>IFERROR(__xludf.DUMMYFUNCTION("""COMPUTED_VALUE"""),"Total Gross")</f>
        <v>Total Gross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15" t="str">
        <f>IFERROR(__xludf.DUMMYFUNCTION("""COMPUTED_VALUE"""),"CASH")</f>
        <v>CASH</v>
      </c>
      <c r="B2" s="16">
        <f>IFERROR(__xludf.DUMMYFUNCTION("""COMPUTED_VALUE"""),102.0)</f>
        <v>102</v>
      </c>
      <c r="C2" s="17">
        <f>IFERROR(__xludf.DUMMYFUNCTION("""COMPUTED_VALUE"""),429.92)</f>
        <v>429.92</v>
      </c>
      <c r="D2" s="17">
        <f>IFERROR(__xludf.DUMMYFUNCTION("""COMPUTED_VALUE"""),43852.06)</f>
        <v>43852.06</v>
      </c>
      <c r="E2" s="17">
        <f>IFERROR(__xludf.DUMMYFUNCTION("""COMPUTED_VALUE"""),255.13)</f>
        <v>255.13</v>
      </c>
      <c r="F2" s="17">
        <f>IFERROR(__xludf.DUMMYFUNCTION("""COMPUTED_VALUE"""),26023.1)</f>
        <v>26023.1</v>
      </c>
      <c r="G2" s="17">
        <f>IFERROR(__xludf.DUMMYFUNCTION("""COMPUTED_VALUE"""),685.05)</f>
        <v>685.05</v>
      </c>
      <c r="H2" s="17">
        <f>IFERROR(__xludf.DUMMYFUNCTION("""COMPUTED_VALUE"""),69875.16)</f>
        <v>69875.16</v>
      </c>
    </row>
    <row r="3">
      <c r="A3" s="15" t="str">
        <f>IFERROR(__xludf.DUMMYFUNCTION("""COMPUTED_VALUE"""),"KIA MOTORS FINANCE")</f>
        <v>KIA MOTORS FINANCE</v>
      </c>
      <c r="B3" s="16">
        <f>IFERROR(__xludf.DUMMYFUNCTION("""COMPUTED_VALUE"""),101.0)</f>
        <v>101</v>
      </c>
      <c r="C3" s="17">
        <f>IFERROR(__xludf.DUMMYFUNCTION("""COMPUTED_VALUE"""),-329.07)</f>
        <v>-329.07</v>
      </c>
      <c r="D3" s="17">
        <f>IFERROR(__xludf.DUMMYFUNCTION("""COMPUTED_VALUE"""),31408.070000000003)</f>
        <v>31408.07</v>
      </c>
      <c r="E3" s="17">
        <f>IFERROR(__xludf.DUMMYFUNCTION("""COMPUTED_VALUE"""),1976.8525000000002)</f>
        <v>1976.8525</v>
      </c>
      <c r="F3" s="17">
        <f>IFERROR(__xludf.DUMMYFUNCTION("""COMPUTED_VALUE"""),232887.94)</f>
        <v>232887.94</v>
      </c>
      <c r="G3" s="17">
        <f>IFERROR(__xludf.DUMMYFUNCTION("""COMPUTED_VALUE"""),1647.78)</f>
        <v>1647.78</v>
      </c>
      <c r="H3" s="17">
        <f>IFERROR(__xludf.DUMMYFUNCTION("""COMPUTED_VALUE"""),264296.01)</f>
        <v>264296.01</v>
      </c>
    </row>
    <row r="4">
      <c r="A4" s="15" t="str">
        <f>IFERROR(__xludf.DUMMYFUNCTION("""COMPUTED_VALUE"""),"NMAC")</f>
        <v>NMAC</v>
      </c>
      <c r="B4" s="16">
        <f>IFERROR(__xludf.DUMMYFUNCTION("""COMPUTED_VALUE"""),68.0)</f>
        <v>68</v>
      </c>
      <c r="C4" s="17">
        <f>IFERROR(__xludf.DUMMYFUNCTION("""COMPUTED_VALUE"""),-154.515)</f>
        <v>-154.515</v>
      </c>
      <c r="D4" s="17">
        <f>IFERROR(__xludf.DUMMYFUNCTION("""COMPUTED_VALUE"""),6263.829999999998)</f>
        <v>6263.83</v>
      </c>
      <c r="E4" s="17">
        <f>IFERROR(__xludf.DUMMYFUNCTION("""COMPUTED_VALUE"""),2164.705)</f>
        <v>2164.705</v>
      </c>
      <c r="F4" s="17">
        <f>IFERROR(__xludf.DUMMYFUNCTION("""COMPUTED_VALUE"""),183744.27)</f>
        <v>183744.27</v>
      </c>
      <c r="G4" s="17">
        <f>IFERROR(__xludf.DUMMYFUNCTION("""COMPUTED_VALUE"""),2010.1883333333333)</f>
        <v>2010.188333</v>
      </c>
      <c r="H4" s="17">
        <f>IFERROR(__xludf.DUMMYFUNCTION("""COMPUTED_VALUE"""),190008.1)</f>
        <v>190008.1</v>
      </c>
    </row>
    <row r="5">
      <c r="A5" s="18" t="str">
        <f>IFERROR(__xludf.DUMMYFUNCTION("""COMPUTED_VALUE"""),"CAPITAL ONE")</f>
        <v>CAPITAL ONE</v>
      </c>
      <c r="B5" s="16">
        <f>IFERROR(__xludf.DUMMYFUNCTION("""COMPUTED_VALUE"""),68.0)</f>
        <v>68</v>
      </c>
      <c r="C5" s="17">
        <f>IFERROR(__xludf.DUMMYFUNCTION("""COMPUTED_VALUE"""),410.6366666666666)</f>
        <v>410.6366667</v>
      </c>
      <c r="D5" s="17">
        <f>IFERROR(__xludf.DUMMYFUNCTION("""COMPUTED_VALUE"""),30336.300000000003)</f>
        <v>30336.3</v>
      </c>
      <c r="E5" s="17">
        <f>IFERROR(__xludf.DUMMYFUNCTION("""COMPUTED_VALUE"""),1796.8450000000003)</f>
        <v>1796.845</v>
      </c>
      <c r="F5" s="17">
        <f>IFERROR(__xludf.DUMMYFUNCTION("""COMPUTED_VALUE"""),135610.37999999998)</f>
        <v>135610.38</v>
      </c>
      <c r="G5" s="17">
        <f>IFERROR(__xludf.DUMMYFUNCTION("""COMPUTED_VALUE"""),2207.478333333333)</f>
        <v>2207.478333</v>
      </c>
      <c r="H5" s="17">
        <f>IFERROR(__xludf.DUMMYFUNCTION("""COMPUTED_VALUE"""),165946.68)</f>
        <v>165946.68</v>
      </c>
    </row>
    <row r="6">
      <c r="A6" s="18" t="str">
        <f>IFERROR(__xludf.DUMMYFUNCTION("""COMPUTED_VALUE"""),"SANTANDER CONSUMER USA")</f>
        <v>SANTANDER CONSUMER USA</v>
      </c>
      <c r="B6" s="16">
        <f>IFERROR(__xludf.DUMMYFUNCTION("""COMPUTED_VALUE"""),55.0)</f>
        <v>55</v>
      </c>
      <c r="C6" s="17">
        <f>IFERROR(__xludf.DUMMYFUNCTION("""COMPUTED_VALUE"""),671.4628571428574)</f>
        <v>671.4628571</v>
      </c>
      <c r="D6" s="17">
        <f>IFERROR(__xludf.DUMMYFUNCTION("""COMPUTED_VALUE"""),24516.770000000004)</f>
        <v>24516.77</v>
      </c>
      <c r="E6" s="17">
        <f>IFERROR(__xludf.DUMMYFUNCTION("""COMPUTED_VALUE"""),2256.902857142857)</f>
        <v>2256.902857</v>
      </c>
      <c r="F6" s="17">
        <f>IFERROR(__xludf.DUMMYFUNCTION("""COMPUTED_VALUE"""),123811.04)</f>
        <v>123811.04</v>
      </c>
      <c r="G6" s="17">
        <f>IFERROR(__xludf.DUMMYFUNCTION("""COMPUTED_VALUE"""),2928.3657142857146)</f>
        <v>2928.365714</v>
      </c>
      <c r="H6" s="17">
        <f>IFERROR(__xludf.DUMMYFUNCTION("""COMPUTED_VALUE"""),148327.81)</f>
        <v>148327.81</v>
      </c>
    </row>
    <row r="7">
      <c r="A7" s="15" t="str">
        <f>IFERROR(__xludf.DUMMYFUNCTION("""COMPUTED_VALUE"""),"ALLY FINANCIAL")</f>
        <v>ALLY FINANCIAL</v>
      </c>
      <c r="B7" s="16">
        <f>IFERROR(__xludf.DUMMYFUNCTION("""COMPUTED_VALUE"""),41.0)</f>
        <v>41</v>
      </c>
      <c r="C7" s="17">
        <f>IFERROR(__xludf.DUMMYFUNCTION("""COMPUTED_VALUE"""),1244.4524999999999)</f>
        <v>1244.4525</v>
      </c>
      <c r="D7" s="17">
        <f>IFERROR(__xludf.DUMMYFUNCTION("""COMPUTED_VALUE"""),57511.44000000001)</f>
        <v>57511.44</v>
      </c>
      <c r="E7" s="17">
        <f>IFERROR(__xludf.DUMMYFUNCTION("""COMPUTED_VALUE"""),2107.36125)</f>
        <v>2107.36125</v>
      </c>
      <c r="F7" s="17">
        <f>IFERROR(__xludf.DUMMYFUNCTION("""COMPUTED_VALUE"""),111904.28)</f>
        <v>111904.28</v>
      </c>
      <c r="G7" s="17">
        <f>IFERROR(__xludf.DUMMYFUNCTION("""COMPUTED_VALUE"""),3351.8162500000003)</f>
        <v>3351.81625</v>
      </c>
      <c r="H7" s="17">
        <f>IFERROR(__xludf.DUMMYFUNCTION("""COMPUTED_VALUE"""),169415.72)</f>
        <v>169415.72</v>
      </c>
    </row>
    <row r="8">
      <c r="A8" s="15" t="str">
        <f>IFERROR(__xludf.DUMMYFUNCTION("""COMPUTED_VALUE"""),"EXETER FINANCE CORPORATION")</f>
        <v>EXETER FINANCE CORPORATION</v>
      </c>
      <c r="B8" s="16">
        <f>IFERROR(__xludf.DUMMYFUNCTION("""COMPUTED_VALUE"""),33.0)</f>
        <v>33</v>
      </c>
      <c r="C8" s="17">
        <f>IFERROR(__xludf.DUMMYFUNCTION("""COMPUTED_VALUE"""),1715.78375)</f>
        <v>1715.78375</v>
      </c>
      <c r="D8" s="17">
        <f>IFERROR(__xludf.DUMMYFUNCTION("""COMPUTED_VALUE"""),33454.06)</f>
        <v>33454.06</v>
      </c>
      <c r="E8" s="17">
        <f>IFERROR(__xludf.DUMMYFUNCTION("""COMPUTED_VALUE"""),1445.075)</f>
        <v>1445.075</v>
      </c>
      <c r="F8" s="17">
        <f>IFERROR(__xludf.DUMMYFUNCTION("""COMPUTED_VALUE"""),46364.0)</f>
        <v>46364</v>
      </c>
      <c r="G8" s="17">
        <f>IFERROR(__xludf.DUMMYFUNCTION("""COMPUTED_VALUE"""),3160.85875)</f>
        <v>3160.85875</v>
      </c>
      <c r="H8" s="17">
        <f>IFERROR(__xludf.DUMMYFUNCTION("""COMPUTED_VALUE"""),79818.06)</f>
        <v>79818.06</v>
      </c>
    </row>
    <row r="9">
      <c r="A9" s="15" t="str">
        <f>IFERROR(__xludf.DUMMYFUNCTION("""COMPUTED_VALUE"""),"TRUIST BANK")</f>
        <v>TRUIST BANK</v>
      </c>
      <c r="B9" s="16">
        <f>IFERROR(__xludf.DUMMYFUNCTION("""COMPUTED_VALUE"""),32.0)</f>
        <v>32</v>
      </c>
      <c r="C9" s="17">
        <f>IFERROR(__xludf.DUMMYFUNCTION("""COMPUTED_VALUE"""),1271.79)</f>
        <v>1271.79</v>
      </c>
      <c r="D9" s="17">
        <f>IFERROR(__xludf.DUMMYFUNCTION("""COMPUTED_VALUE"""),39544.41)</f>
        <v>39544.41</v>
      </c>
      <c r="E9" s="17">
        <f>IFERROR(__xludf.DUMMYFUNCTION("""COMPUTED_VALUE"""),2980.556)</f>
        <v>2980.556</v>
      </c>
      <c r="F9" s="17">
        <f>IFERROR(__xludf.DUMMYFUNCTION("""COMPUTED_VALUE"""),99662.47)</f>
        <v>99662.47</v>
      </c>
      <c r="G9" s="17">
        <f>IFERROR(__xludf.DUMMYFUNCTION("""COMPUTED_VALUE"""),4252.347)</f>
        <v>4252.347</v>
      </c>
      <c r="H9" s="17">
        <f>IFERROR(__xludf.DUMMYFUNCTION("""COMPUTED_VALUE"""),139206.88)</f>
        <v>139206.88</v>
      </c>
    </row>
    <row r="10">
      <c r="A10" s="18" t="str">
        <f>IFERROR(__xludf.DUMMYFUNCTION("""COMPUTED_VALUE"""),"GLOBAL LENDING SERVICES ")</f>
        <v>GLOBAL LENDING SERVICES </v>
      </c>
      <c r="B10" s="16">
        <f>IFERROR(__xludf.DUMMYFUNCTION("""COMPUTED_VALUE"""),27.0)</f>
        <v>27</v>
      </c>
      <c r="C10" s="17">
        <f>IFERROR(__xludf.DUMMYFUNCTION("""COMPUTED_VALUE"""),354.585)</f>
        <v>354.585</v>
      </c>
      <c r="D10" s="17">
        <f>IFERROR(__xludf.DUMMYFUNCTION("""COMPUTED_VALUE"""),13043.429999999998)</f>
        <v>13043.43</v>
      </c>
      <c r="E10" s="17">
        <f>IFERROR(__xludf.DUMMYFUNCTION("""COMPUTED_VALUE"""),1703.75)</f>
        <v>1703.75</v>
      </c>
      <c r="F10" s="17">
        <f>IFERROR(__xludf.DUMMYFUNCTION("""COMPUTED_VALUE"""),53028.0)</f>
        <v>53028</v>
      </c>
      <c r="G10" s="17">
        <f>IFERROR(__xludf.DUMMYFUNCTION("""COMPUTED_VALUE"""),2058.335)</f>
        <v>2058.335</v>
      </c>
      <c r="H10" s="17">
        <f>IFERROR(__xludf.DUMMYFUNCTION("""COMPUTED_VALUE"""),66071.43)</f>
        <v>66071.43</v>
      </c>
    </row>
    <row r="11">
      <c r="A11" s="18" t="str">
        <f>IFERROR(__xludf.DUMMYFUNCTION("""COMPUTED_VALUE"""),"HYUNDAI MOTOR FINANCE")</f>
        <v>HYUNDAI MOTOR FINANCE</v>
      </c>
      <c r="B11" s="16">
        <f>IFERROR(__xludf.DUMMYFUNCTION("""COMPUTED_VALUE"""),25.0)</f>
        <v>25</v>
      </c>
      <c r="C11" s="17">
        <f>IFERROR(__xludf.DUMMYFUNCTION("""COMPUTED_VALUE"""),1312.275)</f>
        <v>1312.275</v>
      </c>
      <c r="D11" s="17">
        <f>IFERROR(__xludf.DUMMYFUNCTION("""COMPUTED_VALUE"""),34022.05)</f>
        <v>34022.05</v>
      </c>
      <c r="E11" s="17">
        <f>IFERROR(__xludf.DUMMYFUNCTION("""COMPUTED_VALUE"""),1498.565)</f>
        <v>1498.565</v>
      </c>
      <c r="F11" s="17">
        <f>IFERROR(__xludf.DUMMYFUNCTION("""COMPUTED_VALUE"""),43607.52)</f>
        <v>43607.52</v>
      </c>
      <c r="G11" s="17">
        <f>IFERROR(__xludf.DUMMYFUNCTION("""COMPUTED_VALUE"""),2810.84)</f>
        <v>2810.84</v>
      </c>
      <c r="H11" s="17">
        <f>IFERROR(__xludf.DUMMYFUNCTION("""COMPUTED_VALUE"""),77629.56999999999)</f>
        <v>77629.57</v>
      </c>
    </row>
    <row r="12">
      <c r="A12" s="18" t="str">
        <f>IFERROR(__xludf.DUMMYFUNCTION("""COMPUTED_VALUE"""),"EASTMAN CU")</f>
        <v>EASTMAN CU</v>
      </c>
      <c r="B12" s="16">
        <f>IFERROR(__xludf.DUMMYFUNCTION("""COMPUTED_VALUE"""),24.0)</f>
        <v>24</v>
      </c>
      <c r="C12" s="17">
        <f>IFERROR(__xludf.DUMMYFUNCTION("""COMPUTED_VALUE"""),1010.9433333333333)</f>
        <v>1010.943333</v>
      </c>
      <c r="D12" s="17">
        <f>IFERROR(__xludf.DUMMYFUNCTION("""COMPUTED_VALUE"""),26243.079999999998)</f>
        <v>26243.08</v>
      </c>
      <c r="E12" s="17">
        <f>IFERROR(__xludf.DUMMYFUNCTION("""COMPUTED_VALUE"""),2053.24)</f>
        <v>2053.24</v>
      </c>
      <c r="F12" s="17">
        <f>IFERROR(__xludf.DUMMYFUNCTION("""COMPUTED_VALUE"""),54792.880000000005)</f>
        <v>54792.88</v>
      </c>
      <c r="G12" s="17">
        <f>IFERROR(__xludf.DUMMYFUNCTION("""COMPUTED_VALUE"""),3064.1766666666663)</f>
        <v>3064.176667</v>
      </c>
      <c r="H12" s="17">
        <f>IFERROR(__xludf.DUMMYFUNCTION("""COMPUTED_VALUE"""),81035.96)</f>
        <v>81035.96</v>
      </c>
    </row>
    <row r="13">
      <c r="A13" s="18" t="str">
        <f>IFERROR(__xludf.DUMMYFUNCTION("""COMPUTED_VALUE"""),"PNC BANK")</f>
        <v>PNC BANK</v>
      </c>
      <c r="B13" s="16">
        <f>IFERROR(__xludf.DUMMYFUNCTION("""COMPUTED_VALUE"""),22.0)</f>
        <v>22</v>
      </c>
      <c r="C13" s="17">
        <f>IFERROR(__xludf.DUMMYFUNCTION("""COMPUTED_VALUE"""),186.63666666666666)</f>
        <v>186.6366667</v>
      </c>
      <c r="D13" s="17">
        <f>IFERROR(__xludf.DUMMYFUNCTION("""COMPUTED_VALUE"""),39.16999999999939)</f>
        <v>39.17</v>
      </c>
      <c r="E13" s="17">
        <f>IFERROR(__xludf.DUMMYFUNCTION("""COMPUTED_VALUE"""),1784.381666666667)</f>
        <v>1784.381667</v>
      </c>
      <c r="F13" s="17">
        <f>IFERROR(__xludf.DUMMYFUNCTION("""COMPUTED_VALUE"""),40817.950000000004)</f>
        <v>40817.95</v>
      </c>
      <c r="G13" s="17">
        <f>IFERROR(__xludf.DUMMYFUNCTION("""COMPUTED_VALUE"""),1971.0183333333334)</f>
        <v>1971.018333</v>
      </c>
      <c r="H13" s="17">
        <f>IFERROR(__xludf.DUMMYFUNCTION("""COMPUTED_VALUE"""),40857.119999999995)</f>
        <v>40857.12</v>
      </c>
    </row>
    <row r="14">
      <c r="A14" s="18" t="str">
        <f>IFERROR(__xludf.DUMMYFUNCTION("""COMPUTED_VALUE"""),"WELLS FARGO AUTO")</f>
        <v>WELLS FARGO AUTO</v>
      </c>
      <c r="B14" s="16">
        <f>IFERROR(__xludf.DUMMYFUNCTION("""COMPUTED_VALUE"""),21.0)</f>
        <v>21</v>
      </c>
      <c r="C14" s="17">
        <f>IFERROR(__xludf.DUMMYFUNCTION("""COMPUTED_VALUE"""),743.9842857142856)</f>
        <v>743.9842857</v>
      </c>
      <c r="D14" s="17">
        <f>IFERROR(__xludf.DUMMYFUNCTION("""COMPUTED_VALUE"""),12009.89)</f>
        <v>12009.89</v>
      </c>
      <c r="E14" s="17">
        <f>IFERROR(__xludf.DUMMYFUNCTION("""COMPUTED_VALUE"""),2961.382857142857)</f>
        <v>2961.382857</v>
      </c>
      <c r="F14" s="17">
        <f>IFERROR(__xludf.DUMMYFUNCTION("""COMPUTED_VALUE"""),59747.81999999999)</f>
        <v>59747.82</v>
      </c>
      <c r="G14" s="17">
        <f>IFERROR(__xludf.DUMMYFUNCTION("""COMPUTED_VALUE"""),3705.3671428571433)</f>
        <v>3705.367143</v>
      </c>
      <c r="H14" s="17">
        <f>IFERROR(__xludf.DUMMYFUNCTION("""COMPUTED_VALUE"""),71757.71)</f>
        <v>71757.71</v>
      </c>
    </row>
    <row r="15">
      <c r="A15" s="18" t="str">
        <f>IFERROR(__xludf.DUMMYFUNCTION("""COMPUTED_VALUE"""),"REGIONAL ACCEPTANCE CORPORATION")</f>
        <v>REGIONAL ACCEPTANCE CORPORATION</v>
      </c>
      <c r="B15" s="16">
        <f>IFERROR(__xludf.DUMMYFUNCTION("""COMPUTED_VALUE"""),19.0)</f>
        <v>19</v>
      </c>
      <c r="C15" s="17">
        <f>IFERROR(__xludf.DUMMYFUNCTION("""COMPUTED_VALUE"""),1251.744)</f>
        <v>1251.744</v>
      </c>
      <c r="D15" s="17">
        <f>IFERROR(__xludf.DUMMYFUNCTION("""COMPUTED_VALUE"""),24882.75)</f>
        <v>24882.75</v>
      </c>
      <c r="E15" s="17">
        <f>IFERROR(__xludf.DUMMYFUNCTION("""COMPUTED_VALUE"""),2406.314)</f>
        <v>2406.314</v>
      </c>
      <c r="F15" s="17">
        <f>IFERROR(__xludf.DUMMYFUNCTION("""COMPUTED_VALUE"""),41251.11)</f>
        <v>41251.11</v>
      </c>
      <c r="G15" s="17">
        <f>IFERROR(__xludf.DUMMYFUNCTION("""COMPUTED_VALUE"""),3658.0559999999996)</f>
        <v>3658.056</v>
      </c>
      <c r="H15" s="17">
        <f>IFERROR(__xludf.DUMMYFUNCTION("""COMPUTED_VALUE"""),66133.86)</f>
        <v>66133.86</v>
      </c>
    </row>
    <row r="16">
      <c r="A16" s="15" t="str">
        <f>IFERROR(__xludf.DUMMYFUNCTION("""COMPUTED_VALUE"""),"WESTLAKE FINANCIAL SERVICES")</f>
        <v>WESTLAKE FINANCIAL SERVICES</v>
      </c>
      <c r="B16" s="16">
        <f>IFERROR(__xludf.DUMMYFUNCTION("""COMPUTED_VALUE"""),16.0)</f>
        <v>16</v>
      </c>
      <c r="C16" s="17">
        <f>IFERROR(__xludf.DUMMYFUNCTION("""COMPUTED_VALUE"""),1365.8566666666668)</f>
        <v>1365.856667</v>
      </c>
      <c r="D16" s="17">
        <f>IFERROR(__xludf.DUMMYFUNCTION("""COMPUTED_VALUE"""),13792.23)</f>
        <v>13792.23</v>
      </c>
      <c r="E16" s="17">
        <f>IFERROR(__xludf.DUMMYFUNCTION("""COMPUTED_VALUE"""),1484.9416666666666)</f>
        <v>1484.941667</v>
      </c>
      <c r="F16" s="17">
        <f>IFERROR(__xludf.DUMMYFUNCTION("""COMPUTED_VALUE"""),19029.660000000003)</f>
        <v>19029.66</v>
      </c>
      <c r="G16" s="17">
        <f>IFERROR(__xludf.DUMMYFUNCTION("""COMPUTED_VALUE"""),2850.7933333333335)</f>
        <v>2850.793333</v>
      </c>
      <c r="H16" s="17">
        <f>IFERROR(__xludf.DUMMYFUNCTION("""COMPUTED_VALUE"""),32821.89)</f>
        <v>32821.89</v>
      </c>
    </row>
    <row r="17">
      <c r="A17" s="18" t="str">
        <f>IFERROR(__xludf.DUMMYFUNCTION("""COMPUTED_VALUE"""),"VW CREDIT")</f>
        <v>VW CREDIT</v>
      </c>
      <c r="B17" s="16">
        <f>IFERROR(__xludf.DUMMYFUNCTION("""COMPUTED_VALUE"""),15.0)</f>
        <v>15</v>
      </c>
      <c r="C17" s="17">
        <f>IFERROR(__xludf.DUMMYFUNCTION("""COMPUTED_VALUE"""),1851.1466666666668)</f>
        <v>1851.146667</v>
      </c>
      <c r="D17" s="17">
        <f>IFERROR(__xludf.DUMMYFUNCTION("""COMPUTED_VALUE"""),22001.679999999997)</f>
        <v>22001.68</v>
      </c>
      <c r="E17" s="17">
        <f>IFERROR(__xludf.DUMMYFUNCTION("""COMPUTED_VALUE"""),2977.02)</f>
        <v>2977.02</v>
      </c>
      <c r="F17" s="17">
        <f>IFERROR(__xludf.DUMMYFUNCTION("""COMPUTED_VALUE"""),42380.93)</f>
        <v>42380.93</v>
      </c>
      <c r="G17" s="17">
        <f>IFERROR(__xludf.DUMMYFUNCTION("""COMPUTED_VALUE"""),4828.166666666666)</f>
        <v>4828.166667</v>
      </c>
      <c r="H17" s="17">
        <f>IFERROR(__xludf.DUMMYFUNCTION("""COMPUTED_VALUE"""),64382.61)</f>
        <v>64382.61</v>
      </c>
    </row>
    <row r="18">
      <c r="A18" s="18" t="str">
        <f>IFERROR(__xludf.DUMMYFUNCTION("""COMPUTED_VALUE"""),"OSF")</f>
        <v>OSF</v>
      </c>
      <c r="B18" s="16">
        <f>IFERROR(__xludf.DUMMYFUNCTION("""COMPUTED_VALUE"""),15.0)</f>
        <v>15</v>
      </c>
      <c r="C18" s="17">
        <f>IFERROR(__xludf.DUMMYFUNCTION("""COMPUTED_VALUE"""),1176.12)</f>
        <v>1176.12</v>
      </c>
      <c r="D18" s="17">
        <f>IFERROR(__xludf.DUMMYFUNCTION("""COMPUTED_VALUE"""),17641.87)</f>
        <v>17641.87</v>
      </c>
      <c r="E18" s="17">
        <f>IFERROR(__xludf.DUMMYFUNCTION("""COMPUTED_VALUE"""),289.4)</f>
        <v>289.4</v>
      </c>
      <c r="F18" s="17">
        <f>IFERROR(__xludf.DUMMYFUNCTION("""COMPUTED_VALUE"""),4341.0)</f>
        <v>4341</v>
      </c>
      <c r="G18" s="17">
        <f>IFERROR(__xludf.DUMMYFUNCTION("""COMPUTED_VALUE"""),1465.52)</f>
        <v>1465.52</v>
      </c>
      <c r="H18" s="17">
        <f>IFERROR(__xludf.DUMMYFUNCTION("""COMPUTED_VALUE"""),21982.87)</f>
        <v>21982.87</v>
      </c>
    </row>
    <row r="19">
      <c r="A19" s="18" t="str">
        <f>IFERROR(__xludf.DUMMYFUNCTION("""COMPUTED_VALUE"""),"CONSUMER PORTFOLIO SERVICES")</f>
        <v>CONSUMER PORTFOLIO SERVICES</v>
      </c>
      <c r="B19" s="16">
        <f>IFERROR(__xludf.DUMMYFUNCTION("""COMPUTED_VALUE"""),15.0)</f>
        <v>15</v>
      </c>
      <c r="C19" s="17">
        <f>IFERROR(__xludf.DUMMYFUNCTION("""COMPUTED_VALUE"""),523.8375000000001)</f>
        <v>523.8375</v>
      </c>
      <c r="D19" s="17">
        <f>IFERROR(__xludf.DUMMYFUNCTION("""COMPUTED_VALUE"""),-2111.21)</f>
        <v>-2111.21</v>
      </c>
      <c r="E19" s="17">
        <f>IFERROR(__xludf.DUMMYFUNCTION("""COMPUTED_VALUE"""),1976.8500000000004)</f>
        <v>1976.85</v>
      </c>
      <c r="F19" s="17">
        <f>IFERROR(__xludf.DUMMYFUNCTION("""COMPUTED_VALUE"""),30664.29)</f>
        <v>30664.29</v>
      </c>
      <c r="G19" s="17">
        <f>IFERROR(__xludf.DUMMYFUNCTION("""COMPUTED_VALUE"""),2500.6875)</f>
        <v>2500.6875</v>
      </c>
      <c r="H19" s="17">
        <f>IFERROR(__xludf.DUMMYFUNCTION("""COMPUTED_VALUE"""),28553.079999999998)</f>
        <v>28553.08</v>
      </c>
    </row>
    <row r="20">
      <c r="A20" s="18" t="str">
        <f>IFERROR(__xludf.DUMMYFUNCTION("""COMPUTED_VALUE"""),"TD AUTO FINANCE")</f>
        <v>TD AUTO FINANCE</v>
      </c>
      <c r="B20" s="16">
        <f>IFERROR(__xludf.DUMMYFUNCTION("""COMPUTED_VALUE"""),13.0)</f>
        <v>13</v>
      </c>
      <c r="C20" s="17">
        <f>IFERROR(__xludf.DUMMYFUNCTION("""COMPUTED_VALUE"""),522.2625)</f>
        <v>522.2625</v>
      </c>
      <c r="D20" s="17">
        <f>IFERROR(__xludf.DUMMYFUNCTION("""COMPUTED_VALUE"""),11144.699999999997)</f>
        <v>11144.7</v>
      </c>
      <c r="E20" s="17">
        <f>IFERROR(__xludf.DUMMYFUNCTION("""COMPUTED_VALUE"""),2248.7799999999997)</f>
        <v>2248.78</v>
      </c>
      <c r="F20" s="17">
        <f>IFERROR(__xludf.DUMMYFUNCTION("""COMPUTED_VALUE"""),39364.95)</f>
        <v>39364.95</v>
      </c>
      <c r="G20" s="17">
        <f>IFERROR(__xludf.DUMMYFUNCTION("""COMPUTED_VALUE"""),2771.04)</f>
        <v>2771.04</v>
      </c>
      <c r="H20" s="17">
        <f>IFERROR(__xludf.DUMMYFUNCTION("""COMPUTED_VALUE"""),50509.65)</f>
        <v>50509.65</v>
      </c>
    </row>
    <row r="21">
      <c r="A21" s="18" t="str">
        <f>IFERROR(__xludf.DUMMYFUNCTION("""COMPUTED_VALUE"""),"RED RIVER FCU")</f>
        <v>RED RIVER FCU</v>
      </c>
      <c r="B21" s="16">
        <f>IFERROR(__xludf.DUMMYFUNCTION("""COMPUTED_VALUE"""),13.0)</f>
        <v>13</v>
      </c>
      <c r="C21" s="17">
        <f>IFERROR(__xludf.DUMMYFUNCTION("""COMPUTED_VALUE"""),88.00333333333333)</f>
        <v>88.00333333</v>
      </c>
      <c r="D21" s="17">
        <f>IFERROR(__xludf.DUMMYFUNCTION("""COMPUTED_VALUE"""),-392.4200000000001)</f>
        <v>-392.42</v>
      </c>
      <c r="E21" s="17">
        <f>IFERROR(__xludf.DUMMYFUNCTION("""COMPUTED_VALUE"""),2597.9666666666667)</f>
        <v>2597.966667</v>
      </c>
      <c r="F21" s="17">
        <f>IFERROR(__xludf.DUMMYFUNCTION("""COMPUTED_VALUE"""),47445.810000000005)</f>
        <v>47445.81</v>
      </c>
      <c r="G21" s="17">
        <f>IFERROR(__xludf.DUMMYFUNCTION("""COMPUTED_VALUE"""),2685.97)</f>
        <v>2685.97</v>
      </c>
      <c r="H21" s="17">
        <f>IFERROR(__xludf.DUMMYFUNCTION("""COMPUTED_VALUE"""),47053.39)</f>
        <v>47053.39</v>
      </c>
    </row>
    <row r="22">
      <c r="A22" s="18" t="str">
        <f>IFERROR(__xludf.DUMMYFUNCTION("""COMPUTED_VALUE"""),"FIFTH THIRD BANK")</f>
        <v>FIFTH THIRD BANK</v>
      </c>
      <c r="B22" s="16">
        <f>IFERROR(__xludf.DUMMYFUNCTION("""COMPUTED_VALUE"""),13.0)</f>
        <v>13</v>
      </c>
      <c r="C22" s="17">
        <f>IFERROR(__xludf.DUMMYFUNCTION("""COMPUTED_VALUE"""),1508.365)</f>
        <v>1508.365</v>
      </c>
      <c r="D22" s="17">
        <f>IFERROR(__xludf.DUMMYFUNCTION("""COMPUTED_VALUE"""),16572.75)</f>
        <v>16572.75</v>
      </c>
      <c r="E22" s="17">
        <f>IFERROR(__xludf.DUMMYFUNCTION("""COMPUTED_VALUE"""),2753.635)</f>
        <v>2753.635</v>
      </c>
      <c r="F22" s="17">
        <f>IFERROR(__xludf.DUMMYFUNCTION("""COMPUTED_VALUE"""),34529.66)</f>
        <v>34529.66</v>
      </c>
      <c r="G22" s="17">
        <f>IFERROR(__xludf.DUMMYFUNCTION("""COMPUTED_VALUE"""),4262.0)</f>
        <v>4262</v>
      </c>
      <c r="H22" s="17">
        <f>IFERROR(__xludf.DUMMYFUNCTION("""COMPUTED_VALUE"""),51102.41)</f>
        <v>51102.41</v>
      </c>
    </row>
    <row r="23">
      <c r="A23" s="18" t="str">
        <f>IFERROR(__xludf.DUMMYFUNCTION("""COMPUTED_VALUE"""),"#N/A")</f>
        <v>#N/A</v>
      </c>
      <c r="B23" s="16">
        <f>IFERROR(__xludf.DUMMYFUNCTION("""COMPUTED_VALUE"""),12.0)</f>
        <v>12</v>
      </c>
      <c r="C23" s="17">
        <f>IFERROR(__xludf.DUMMYFUNCTION("""COMPUTED_VALUE"""),1104.894)</f>
        <v>1104.894</v>
      </c>
      <c r="D23" s="17">
        <f>IFERROR(__xludf.DUMMYFUNCTION("""COMPUTED_VALUE"""),23340.37)</f>
        <v>23340.37</v>
      </c>
      <c r="E23" s="17">
        <f>IFERROR(__xludf.DUMMYFUNCTION("""COMPUTED_VALUE"""),2784.804)</f>
        <v>2784.804</v>
      </c>
      <c r="F23" s="17">
        <f>IFERROR(__xludf.DUMMYFUNCTION("""COMPUTED_VALUE"""),32926.270000000004)</f>
        <v>32926.27</v>
      </c>
      <c r="G23" s="17">
        <f>IFERROR(__xludf.DUMMYFUNCTION("""COMPUTED_VALUE"""),3889.6979999999994)</f>
        <v>3889.698</v>
      </c>
      <c r="H23" s="17">
        <f>IFERROR(__xludf.DUMMYFUNCTION("""COMPUTED_VALUE"""),56266.64)</f>
        <v>56266.64</v>
      </c>
    </row>
    <row r="24">
      <c r="A24" s="18" t="str">
        <f>IFERROR(__xludf.DUMMYFUNCTION("""COMPUTED_VALUE"""),"BARKSDALE FCU")</f>
        <v>BARKSDALE FCU</v>
      </c>
      <c r="B24" s="16">
        <f>IFERROR(__xludf.DUMMYFUNCTION("""COMPUTED_VALUE"""),11.0)</f>
        <v>11</v>
      </c>
      <c r="C24" s="17">
        <f>IFERROR(__xludf.DUMMYFUNCTION("""COMPUTED_VALUE"""),1436.96)</f>
        <v>1436.96</v>
      </c>
      <c r="D24" s="17">
        <f>IFERROR(__xludf.DUMMYFUNCTION("""COMPUTED_VALUE"""),15806.56)</f>
        <v>15806.56</v>
      </c>
      <c r="E24" s="17">
        <f>IFERROR(__xludf.DUMMYFUNCTION("""COMPUTED_VALUE"""),2237.48)</f>
        <v>2237.48</v>
      </c>
      <c r="F24" s="17">
        <f>IFERROR(__xludf.DUMMYFUNCTION("""COMPUTED_VALUE"""),24612.27)</f>
        <v>24612.27</v>
      </c>
      <c r="G24" s="17">
        <f>IFERROR(__xludf.DUMMYFUNCTION("""COMPUTED_VALUE"""),3674.44)</f>
        <v>3674.44</v>
      </c>
      <c r="H24" s="17">
        <f>IFERROR(__xludf.DUMMYFUNCTION("""COMPUTED_VALUE"""),40418.83)</f>
        <v>40418.83</v>
      </c>
    </row>
    <row r="25">
      <c r="A25" s="18" t="str">
        <f>IFERROR(__xludf.DUMMYFUNCTION("""COMPUTED_VALUE"""),"AMERICAN CREDIT ACCEPTANCE")</f>
        <v>AMERICAN CREDIT ACCEPTANCE</v>
      </c>
      <c r="B25" s="16">
        <f>IFERROR(__xludf.DUMMYFUNCTION("""COMPUTED_VALUE"""),11.0)</f>
        <v>11</v>
      </c>
      <c r="C25" s="17">
        <f>IFERROR(__xludf.DUMMYFUNCTION("""COMPUTED_VALUE"""),-779.0999999999999)</f>
        <v>-779.1</v>
      </c>
      <c r="D25" s="17">
        <f>IFERROR(__xludf.DUMMYFUNCTION("""COMPUTED_VALUE"""),-11493.880000000001)</f>
        <v>-11493.88</v>
      </c>
      <c r="E25" s="17">
        <f>IFERROR(__xludf.DUMMYFUNCTION("""COMPUTED_VALUE"""),1961.585)</f>
        <v>1961.585</v>
      </c>
      <c r="F25" s="17">
        <f>IFERROR(__xludf.DUMMYFUNCTION("""COMPUTED_VALUE"""),26112.0)</f>
        <v>26112</v>
      </c>
      <c r="G25" s="17">
        <f>IFERROR(__xludf.DUMMYFUNCTION("""COMPUTED_VALUE"""),1182.4850000000001)</f>
        <v>1182.485</v>
      </c>
      <c r="H25" s="17">
        <f>IFERROR(__xludf.DUMMYFUNCTION("""COMPUTED_VALUE"""),14618.119999999999)</f>
        <v>14618.12</v>
      </c>
    </row>
    <row r="26">
      <c r="A26" s="18" t="str">
        <f>IFERROR(__xludf.DUMMYFUNCTION("""COMPUTED_VALUE"""),"MERITRUST FCU")</f>
        <v>MERITRUST FCU</v>
      </c>
      <c r="B26" s="16">
        <f>IFERROR(__xludf.DUMMYFUNCTION("""COMPUTED_VALUE"""),10.0)</f>
        <v>10</v>
      </c>
      <c r="C26" s="17">
        <f>IFERROR(__xludf.DUMMYFUNCTION("""COMPUTED_VALUE"""),924.135)</f>
        <v>924.135</v>
      </c>
      <c r="D26" s="17">
        <f>IFERROR(__xludf.DUMMYFUNCTION("""COMPUTED_VALUE"""),7644.75)</f>
        <v>7644.75</v>
      </c>
      <c r="E26" s="17">
        <f>IFERROR(__xludf.DUMMYFUNCTION("""COMPUTED_VALUE"""),2838.91)</f>
        <v>2838.91</v>
      </c>
      <c r="F26" s="17">
        <f>IFERROR(__xludf.DUMMYFUNCTION("""COMPUTED_VALUE"""),27288.300000000003)</f>
        <v>27288.3</v>
      </c>
      <c r="G26" s="17">
        <f>IFERROR(__xludf.DUMMYFUNCTION("""COMPUTED_VALUE"""),3763.05)</f>
        <v>3763.05</v>
      </c>
      <c r="H26" s="17">
        <f>IFERROR(__xludf.DUMMYFUNCTION("""COMPUTED_VALUE"""),34933.05)</f>
        <v>34933.05</v>
      </c>
    </row>
    <row r="27">
      <c r="A27" s="18" t="str">
        <f>IFERROR(__xludf.DUMMYFUNCTION("""COMPUTED_VALUE"""),"TINKER FCU")</f>
        <v>TINKER FCU</v>
      </c>
      <c r="B27" s="16">
        <f>IFERROR(__xludf.DUMMYFUNCTION("""COMPUTED_VALUE"""),8.0)</f>
        <v>8</v>
      </c>
      <c r="C27" s="17">
        <f>IFERROR(__xludf.DUMMYFUNCTION("""COMPUTED_VALUE"""),-488.04)</f>
        <v>-488.04</v>
      </c>
      <c r="D27" s="17">
        <f>IFERROR(__xludf.DUMMYFUNCTION("""COMPUTED_VALUE"""),-3904.32)</f>
        <v>-3904.32</v>
      </c>
      <c r="E27" s="17">
        <f>IFERROR(__xludf.DUMMYFUNCTION("""COMPUTED_VALUE"""),1451.45)</f>
        <v>1451.45</v>
      </c>
      <c r="F27" s="17">
        <f>IFERROR(__xludf.DUMMYFUNCTION("""COMPUTED_VALUE"""),11611.57)</f>
        <v>11611.57</v>
      </c>
      <c r="G27" s="17">
        <f>IFERROR(__xludf.DUMMYFUNCTION("""COMPUTED_VALUE"""),963.41)</f>
        <v>963.41</v>
      </c>
      <c r="H27" s="17">
        <f>IFERROR(__xludf.DUMMYFUNCTION("""COMPUTED_VALUE"""),7707.25)</f>
        <v>7707.25</v>
      </c>
    </row>
    <row r="28">
      <c r="A28" s="18" t="str">
        <f>IFERROR(__xludf.DUMMYFUNCTION("""COMPUTED_VALUE"""),"JP MORGAN CHASE BANK")</f>
        <v>JP MORGAN CHASE BANK</v>
      </c>
      <c r="B28" s="16">
        <f>IFERROR(__xludf.DUMMYFUNCTION("""COMPUTED_VALUE"""),7.0)</f>
        <v>7</v>
      </c>
      <c r="C28" s="17">
        <f>IFERROR(__xludf.DUMMYFUNCTION("""COMPUTED_VALUE"""),-708.356)</f>
        <v>-708.356</v>
      </c>
      <c r="D28" s="17">
        <f>IFERROR(__xludf.DUMMYFUNCTION("""COMPUTED_VALUE"""),-7121.94)</f>
        <v>-7121.94</v>
      </c>
      <c r="E28" s="17">
        <f>IFERROR(__xludf.DUMMYFUNCTION("""COMPUTED_VALUE"""),1529.586)</f>
        <v>1529.586</v>
      </c>
      <c r="F28" s="17">
        <f>IFERROR(__xludf.DUMMYFUNCTION("""COMPUTED_VALUE"""),9913.76)</f>
        <v>9913.76</v>
      </c>
      <c r="G28" s="17">
        <f>IFERROR(__xludf.DUMMYFUNCTION("""COMPUTED_VALUE"""),821.2299999999999)</f>
        <v>821.23</v>
      </c>
      <c r="H28" s="17">
        <f>IFERROR(__xludf.DUMMYFUNCTION("""COMPUTED_VALUE"""),2791.8199999999997)</f>
        <v>2791.82</v>
      </c>
    </row>
    <row r="29">
      <c r="A29" s="18" t="str">
        <f>IFERROR(__xludf.DUMMYFUNCTION("""COMPUTED_VALUE"""),"GM FINANCIAL SERVICES")</f>
        <v>GM FINANCIAL SERVICES</v>
      </c>
      <c r="B29" s="16">
        <f>IFERROR(__xludf.DUMMYFUNCTION("""COMPUTED_VALUE"""),6.0)</f>
        <v>6</v>
      </c>
      <c r="C29" s="17">
        <f>IFERROR(__xludf.DUMMYFUNCTION("""COMPUTED_VALUE"""),2443.263333333334)</f>
        <v>2443.263333</v>
      </c>
      <c r="D29" s="17">
        <f>IFERROR(__xludf.DUMMYFUNCTION("""COMPUTED_VALUE"""),21902.03)</f>
        <v>21902.03</v>
      </c>
      <c r="E29" s="17">
        <f>IFERROR(__xludf.DUMMYFUNCTION("""COMPUTED_VALUE"""),2783.683333333333)</f>
        <v>2783.683333</v>
      </c>
      <c r="F29" s="17">
        <f>IFERROR(__xludf.DUMMYFUNCTION("""COMPUTED_VALUE"""),17895.48)</f>
        <v>17895.48</v>
      </c>
      <c r="G29" s="17">
        <f>IFERROR(__xludf.DUMMYFUNCTION("""COMPUTED_VALUE"""),5226.946666666667)</f>
        <v>5226.946667</v>
      </c>
      <c r="H29" s="17">
        <f>IFERROR(__xludf.DUMMYFUNCTION("""COMPUTED_VALUE"""),39797.51)</f>
        <v>39797.51</v>
      </c>
    </row>
    <row r="30">
      <c r="A30" s="18" t="str">
        <f>IFERROR(__xludf.DUMMYFUNCTION("""COMPUTED_VALUE"""),"CREDIT ACCEPTANCE CORPORATION")</f>
        <v>CREDIT ACCEPTANCE CORPORATION</v>
      </c>
      <c r="B30" s="16">
        <f>IFERROR(__xludf.DUMMYFUNCTION("""COMPUTED_VALUE"""),6.0)</f>
        <v>6</v>
      </c>
      <c r="C30" s="17">
        <f>IFERROR(__xludf.DUMMYFUNCTION("""COMPUTED_VALUE"""),284.77250000000004)</f>
        <v>284.7725</v>
      </c>
      <c r="D30" s="17">
        <f>IFERROR(__xludf.DUMMYFUNCTION("""COMPUTED_VALUE"""),1494.71)</f>
        <v>1494.71</v>
      </c>
      <c r="E30" s="17">
        <f>IFERROR(__xludf.DUMMYFUNCTION("""COMPUTED_VALUE"""),979.25)</f>
        <v>979.25</v>
      </c>
      <c r="F30" s="17">
        <f>IFERROR(__xludf.DUMMYFUNCTION("""COMPUTED_VALUE"""),5711.0)</f>
        <v>5711</v>
      </c>
      <c r="G30" s="17">
        <f>IFERROR(__xludf.DUMMYFUNCTION("""COMPUTED_VALUE"""),1264.0225)</f>
        <v>1264.0225</v>
      </c>
      <c r="H30" s="17">
        <f>IFERROR(__xludf.DUMMYFUNCTION("""COMPUTED_VALUE"""),7205.71)</f>
        <v>7205.71</v>
      </c>
    </row>
    <row r="31">
      <c r="A31" s="18" t="str">
        <f>IFERROR(__xludf.DUMMYFUNCTION("""COMPUTED_VALUE"""),"COMMUNICATION FCU")</f>
        <v>COMMUNICATION FCU</v>
      </c>
      <c r="B31" s="16">
        <f>IFERROR(__xludf.DUMMYFUNCTION("""COMPUTED_VALUE"""),6.0)</f>
        <v>6</v>
      </c>
      <c r="C31" s="17">
        <f>IFERROR(__xludf.DUMMYFUNCTION("""COMPUTED_VALUE"""),1158.08)</f>
        <v>1158.08</v>
      </c>
      <c r="D31" s="17">
        <f>IFERROR(__xludf.DUMMYFUNCTION("""COMPUTED_VALUE"""),6948.45)</f>
        <v>6948.45</v>
      </c>
      <c r="E31" s="17">
        <f>IFERROR(__xludf.DUMMYFUNCTION("""COMPUTED_VALUE"""),2165.81)</f>
        <v>2165.81</v>
      </c>
      <c r="F31" s="17">
        <f>IFERROR(__xludf.DUMMYFUNCTION("""COMPUTED_VALUE"""),12994.87)</f>
        <v>12994.87</v>
      </c>
      <c r="G31" s="17">
        <f>IFERROR(__xludf.DUMMYFUNCTION("""COMPUTED_VALUE"""),3323.89)</f>
        <v>3323.89</v>
      </c>
      <c r="H31" s="17">
        <f>IFERROR(__xludf.DUMMYFUNCTION("""COMPUTED_VALUE"""),19943.32)</f>
        <v>19943.32</v>
      </c>
    </row>
    <row r="32">
      <c r="A32" s="18" t="str">
        <f>IFERROR(__xludf.DUMMYFUNCTION("""COMPUTED_VALUE"""),"UNITED FCU")</f>
        <v>UNITED FCU</v>
      </c>
      <c r="B32" s="16">
        <f>IFERROR(__xludf.DUMMYFUNCTION("""COMPUTED_VALUE"""),5.0)</f>
        <v>5</v>
      </c>
      <c r="C32" s="17">
        <f>IFERROR(__xludf.DUMMYFUNCTION("""COMPUTED_VALUE"""),1395.98)</f>
        <v>1395.98</v>
      </c>
      <c r="D32" s="17">
        <f>IFERROR(__xludf.DUMMYFUNCTION("""COMPUTED_VALUE"""),6979.89)</f>
        <v>6979.89</v>
      </c>
      <c r="E32" s="17">
        <f>IFERROR(__xludf.DUMMYFUNCTION("""COMPUTED_VALUE"""),2932.85)</f>
        <v>2932.85</v>
      </c>
      <c r="F32" s="17">
        <f>IFERROR(__xludf.DUMMYFUNCTION("""COMPUTED_VALUE"""),14664.27)</f>
        <v>14664.27</v>
      </c>
      <c r="G32" s="17">
        <f>IFERROR(__xludf.DUMMYFUNCTION("""COMPUTED_VALUE"""),4328.83)</f>
        <v>4328.83</v>
      </c>
      <c r="H32" s="17">
        <f>IFERROR(__xludf.DUMMYFUNCTION("""COMPUTED_VALUE"""),21644.16)</f>
        <v>21644.16</v>
      </c>
    </row>
    <row r="33">
      <c r="A33" s="18" t="str">
        <f>IFERROR(__xludf.DUMMYFUNCTION("""COMPUTED_VALUE"""),"CUA")</f>
        <v>CUA</v>
      </c>
      <c r="B33" s="16">
        <f>IFERROR(__xludf.DUMMYFUNCTION("""COMPUTED_VALUE"""),5.0)</f>
        <v>5</v>
      </c>
      <c r="C33" s="17">
        <f>IFERROR(__xludf.DUMMYFUNCTION("""COMPUTED_VALUE"""),277.64)</f>
        <v>277.64</v>
      </c>
      <c r="D33" s="17">
        <f>IFERROR(__xludf.DUMMYFUNCTION("""COMPUTED_VALUE"""),1388.18)</f>
        <v>1388.18</v>
      </c>
      <c r="E33" s="17">
        <f>IFERROR(__xludf.DUMMYFUNCTION("""COMPUTED_VALUE"""),2784.18)</f>
        <v>2784.18</v>
      </c>
      <c r="F33" s="17">
        <f>IFERROR(__xludf.DUMMYFUNCTION("""COMPUTED_VALUE"""),13920.9)</f>
        <v>13920.9</v>
      </c>
      <c r="G33" s="17">
        <f>IFERROR(__xludf.DUMMYFUNCTION("""COMPUTED_VALUE"""),3061.82)</f>
        <v>3061.82</v>
      </c>
      <c r="H33" s="17">
        <f>IFERROR(__xludf.DUMMYFUNCTION("""COMPUTED_VALUE"""),15309.08)</f>
        <v>15309.08</v>
      </c>
    </row>
    <row r="34">
      <c r="A34" s="18" t="str">
        <f>IFERROR(__xludf.DUMMYFUNCTION("""COMPUTED_VALUE"""),"ARVEST BANK")</f>
        <v>ARVEST BANK</v>
      </c>
      <c r="B34" s="16">
        <f>IFERROR(__xludf.DUMMYFUNCTION("""COMPUTED_VALUE"""),5.0)</f>
        <v>5</v>
      </c>
      <c r="C34" s="17">
        <f>IFERROR(__xludf.DUMMYFUNCTION("""COMPUTED_VALUE"""),143.70000000000005)</f>
        <v>143.7</v>
      </c>
      <c r="D34" s="17">
        <f>IFERROR(__xludf.DUMMYFUNCTION("""COMPUTED_VALUE"""),2905.7)</f>
        <v>2905.7</v>
      </c>
      <c r="E34" s="17">
        <f>IFERROR(__xludf.DUMMYFUNCTION("""COMPUTED_VALUE"""),5059.735)</f>
        <v>5059.735</v>
      </c>
      <c r="F34" s="17">
        <f>IFERROR(__xludf.DUMMYFUNCTION("""COMPUTED_VALUE"""),28416.44)</f>
        <v>28416.44</v>
      </c>
      <c r="G34" s="17">
        <f>IFERROR(__xludf.DUMMYFUNCTION("""COMPUTED_VALUE"""),5203.4349999999995)</f>
        <v>5203.435</v>
      </c>
      <c r="H34" s="17">
        <f>IFERROR(__xludf.DUMMYFUNCTION("""COMPUTED_VALUE"""),31322.14)</f>
        <v>31322.14</v>
      </c>
    </row>
    <row r="35">
      <c r="A35" s="18" t="str">
        <f>IFERROR(__xludf.DUMMYFUNCTION("""COMPUTED_VALUE"""),"ARKANSAS FCU")</f>
        <v>ARKANSAS FCU</v>
      </c>
      <c r="B35" s="16">
        <f>IFERROR(__xludf.DUMMYFUNCTION("""COMPUTED_VALUE"""),5.0)</f>
        <v>5</v>
      </c>
      <c r="C35" s="17">
        <f>IFERROR(__xludf.DUMMYFUNCTION("""COMPUTED_VALUE"""),2853.31)</f>
        <v>2853.31</v>
      </c>
      <c r="D35" s="17">
        <f>IFERROR(__xludf.DUMMYFUNCTION("""COMPUTED_VALUE"""),14266.54)</f>
        <v>14266.54</v>
      </c>
      <c r="E35" s="17">
        <f>IFERROR(__xludf.DUMMYFUNCTION("""COMPUTED_VALUE"""),3260.89)</f>
        <v>3260.89</v>
      </c>
      <c r="F35" s="17">
        <f>IFERROR(__xludf.DUMMYFUNCTION("""COMPUTED_VALUE"""),16304.43)</f>
        <v>16304.43</v>
      </c>
      <c r="G35" s="17">
        <f>IFERROR(__xludf.DUMMYFUNCTION("""COMPUTED_VALUE"""),6114.19)</f>
        <v>6114.19</v>
      </c>
      <c r="H35" s="17">
        <f>IFERROR(__xludf.DUMMYFUNCTION("""COMPUTED_VALUE"""),30570.97)</f>
        <v>30570.97</v>
      </c>
    </row>
    <row r="36">
      <c r="A36" s="15" t="str">
        <f>IFERROR(__xludf.DUMMYFUNCTION("""COMPUTED_VALUE"""),"WEOKIE FCU")</f>
        <v>WEOKIE FCU</v>
      </c>
      <c r="B36" s="16">
        <f>IFERROR(__xludf.DUMMYFUNCTION("""COMPUTED_VALUE"""),4.0)</f>
        <v>4</v>
      </c>
      <c r="C36" s="17">
        <f>IFERROR(__xludf.DUMMYFUNCTION("""COMPUTED_VALUE"""),673.08)</f>
        <v>673.08</v>
      </c>
      <c r="D36" s="17">
        <f>IFERROR(__xludf.DUMMYFUNCTION("""COMPUTED_VALUE"""),2692.31)</f>
        <v>2692.31</v>
      </c>
      <c r="E36" s="17">
        <f>IFERROR(__xludf.DUMMYFUNCTION("""COMPUTED_VALUE"""),2905.3)</f>
        <v>2905.3</v>
      </c>
      <c r="F36" s="17">
        <f>IFERROR(__xludf.DUMMYFUNCTION("""COMPUTED_VALUE"""),11621.21)</f>
        <v>11621.21</v>
      </c>
      <c r="G36" s="17">
        <f>IFERROR(__xludf.DUMMYFUNCTION("""COMPUTED_VALUE"""),3578.38)</f>
        <v>3578.38</v>
      </c>
      <c r="H36" s="17">
        <f>IFERROR(__xludf.DUMMYFUNCTION("""COMPUTED_VALUE"""),14313.52)</f>
        <v>14313.52</v>
      </c>
    </row>
    <row r="37">
      <c r="A37" s="18" t="str">
        <f>IFERROR(__xludf.DUMMYFUNCTION("""COMPUTED_VALUE"""),"TEXAS DOW EMPLOYEES CU")</f>
        <v>TEXAS DOW EMPLOYEES CU</v>
      </c>
      <c r="B37" s="16">
        <f>IFERROR(__xludf.DUMMYFUNCTION("""COMPUTED_VALUE"""),4.0)</f>
        <v>4</v>
      </c>
      <c r="C37" s="17">
        <f>IFERROR(__xludf.DUMMYFUNCTION("""COMPUTED_VALUE"""),-639.6)</f>
        <v>-639.6</v>
      </c>
      <c r="D37" s="17">
        <f>IFERROR(__xludf.DUMMYFUNCTION("""COMPUTED_VALUE"""),-2558.4)</f>
        <v>-2558.4</v>
      </c>
      <c r="E37" s="17">
        <f>IFERROR(__xludf.DUMMYFUNCTION("""COMPUTED_VALUE"""),3023.04)</f>
        <v>3023.04</v>
      </c>
      <c r="F37" s="17">
        <f>IFERROR(__xludf.DUMMYFUNCTION("""COMPUTED_VALUE"""),12092.14)</f>
        <v>12092.14</v>
      </c>
      <c r="G37" s="17">
        <f>IFERROR(__xludf.DUMMYFUNCTION("""COMPUTED_VALUE"""),2383.44)</f>
        <v>2383.44</v>
      </c>
      <c r="H37" s="17">
        <f>IFERROR(__xludf.DUMMYFUNCTION("""COMPUTED_VALUE"""),9533.74)</f>
        <v>9533.74</v>
      </c>
    </row>
    <row r="38">
      <c r="A38" s="18" t="str">
        <f>IFERROR(__xludf.DUMMYFUNCTION("""COMPUTED_VALUE"""),"STELLANTIS FINANCIAL SERV")</f>
        <v>STELLANTIS FINANCIAL SERV</v>
      </c>
      <c r="B38" s="16">
        <f>IFERROR(__xludf.DUMMYFUNCTION("""COMPUTED_VALUE"""),4.0)</f>
        <v>4</v>
      </c>
      <c r="C38" s="17">
        <f>IFERROR(__xludf.DUMMYFUNCTION("""COMPUTED_VALUE"""),-891.1300000000001)</f>
        <v>-891.13</v>
      </c>
      <c r="D38" s="17">
        <f>IFERROR(__xludf.DUMMYFUNCTION("""COMPUTED_VALUE"""),-3751.6600000000003)</f>
        <v>-3751.66</v>
      </c>
      <c r="E38" s="17">
        <f>IFERROR(__xludf.DUMMYFUNCTION("""COMPUTED_VALUE"""),1988.0766666666666)</f>
        <v>1988.076667</v>
      </c>
      <c r="F38" s="17">
        <f>IFERROR(__xludf.DUMMYFUNCTION("""COMPUTED_VALUE"""),7086.969999999999)</f>
        <v>7086.97</v>
      </c>
      <c r="G38" s="17">
        <f>IFERROR(__xludf.DUMMYFUNCTION("""COMPUTED_VALUE"""),1096.9466666666665)</f>
        <v>1096.946667</v>
      </c>
      <c r="H38" s="17">
        <f>IFERROR(__xludf.DUMMYFUNCTION("""COMPUTED_VALUE"""),3335.31)</f>
        <v>3335.31</v>
      </c>
    </row>
    <row r="39">
      <c r="A39" s="18" t="str">
        <f>IFERROR(__xludf.DUMMYFUNCTION("""COMPUTED_VALUE"""),"COMMERCE BANK")</f>
        <v>COMMERCE BANK</v>
      </c>
      <c r="B39" s="16">
        <f>IFERROR(__xludf.DUMMYFUNCTION("""COMPUTED_VALUE"""),4.0)</f>
        <v>4</v>
      </c>
      <c r="C39" s="17">
        <f>IFERROR(__xludf.DUMMYFUNCTION("""COMPUTED_VALUE"""),1243.31)</f>
        <v>1243.31</v>
      </c>
      <c r="D39" s="17">
        <f>IFERROR(__xludf.DUMMYFUNCTION("""COMPUTED_VALUE"""),5965.189999999999)</f>
        <v>5965.19</v>
      </c>
      <c r="E39" s="17">
        <f>IFERROR(__xludf.DUMMYFUNCTION("""COMPUTED_VALUE"""),1441.29)</f>
        <v>1441.29</v>
      </c>
      <c r="F39" s="17">
        <f>IFERROR(__xludf.DUMMYFUNCTION("""COMPUTED_VALUE"""),6493.87)</f>
        <v>6493.87</v>
      </c>
      <c r="G39" s="17">
        <f>IFERROR(__xludf.DUMMYFUNCTION("""COMPUTED_VALUE"""),2684.6000000000004)</f>
        <v>2684.6</v>
      </c>
      <c r="H39" s="17">
        <f>IFERROR(__xludf.DUMMYFUNCTION("""COMPUTED_VALUE"""),12459.060000000001)</f>
        <v>12459.06</v>
      </c>
    </row>
    <row r="40">
      <c r="A40" s="18" t="str">
        <f>IFERROR(__xludf.DUMMYFUNCTION("""COMPUTED_VALUE"""),"CHRYSLER CAPITAL")</f>
        <v>CHRYSLER CAPITAL</v>
      </c>
      <c r="B40" s="16">
        <f>IFERROR(__xludf.DUMMYFUNCTION("""COMPUTED_VALUE"""),4.0)</f>
        <v>4</v>
      </c>
      <c r="C40" s="17">
        <f>IFERROR(__xludf.DUMMYFUNCTION("""COMPUTED_VALUE"""),170.115)</f>
        <v>170.115</v>
      </c>
      <c r="D40" s="17">
        <f>IFERROR(__xludf.DUMMYFUNCTION("""COMPUTED_VALUE"""),-2874.0699999999997)</f>
        <v>-2874.07</v>
      </c>
      <c r="E40" s="17">
        <f>IFERROR(__xludf.DUMMYFUNCTION("""COMPUTED_VALUE"""),2410.2)</f>
        <v>2410.2</v>
      </c>
      <c r="F40" s="17">
        <f>IFERROR(__xludf.DUMMYFUNCTION("""COMPUTED_VALUE"""),9717.21)</f>
        <v>9717.21</v>
      </c>
      <c r="G40" s="17">
        <f>IFERROR(__xludf.DUMMYFUNCTION("""COMPUTED_VALUE"""),2580.315)</f>
        <v>2580.315</v>
      </c>
      <c r="H40" s="17">
        <f>IFERROR(__xludf.DUMMYFUNCTION("""COMPUTED_VALUE"""),6843.14)</f>
        <v>6843.14</v>
      </c>
    </row>
    <row r="41">
      <c r="A41" s="18" t="str">
        <f>IFERROR(__xludf.DUMMYFUNCTION("""COMPUTED_VALUE"""),"FOURSIGHT CAPITAL ")</f>
        <v>FOURSIGHT CAPITAL </v>
      </c>
      <c r="B41" s="16">
        <f>IFERROR(__xludf.DUMMYFUNCTION("""COMPUTED_VALUE"""),3.0)</f>
        <v>3</v>
      </c>
      <c r="C41" s="17">
        <f>IFERROR(__xludf.DUMMYFUNCTION("""COMPUTED_VALUE"""),810.7766666666666)</f>
        <v>810.7766667</v>
      </c>
      <c r="D41" s="17">
        <f>IFERROR(__xludf.DUMMYFUNCTION("""COMPUTED_VALUE"""),2432.33)</f>
        <v>2432.33</v>
      </c>
      <c r="E41" s="17">
        <f>IFERROR(__xludf.DUMMYFUNCTION("""COMPUTED_VALUE"""),3730.3799999999997)</f>
        <v>3730.38</v>
      </c>
      <c r="F41" s="17">
        <f>IFERROR(__xludf.DUMMYFUNCTION("""COMPUTED_VALUE"""),11191.14)</f>
        <v>11191.14</v>
      </c>
      <c r="G41" s="17">
        <f>IFERROR(__xludf.DUMMYFUNCTION("""COMPUTED_VALUE"""),4541.156666666667)</f>
        <v>4541.156667</v>
      </c>
      <c r="H41" s="17">
        <f>IFERROR(__xludf.DUMMYFUNCTION("""COMPUTED_VALUE"""),13623.47)</f>
        <v>13623.47</v>
      </c>
    </row>
    <row r="42">
      <c r="A42" s="18" t="str">
        <f>IFERROR(__xludf.DUMMYFUNCTION("""COMPUTED_VALUE"""),"CINCH AUTO FINANCE")</f>
        <v>CINCH AUTO FINANCE</v>
      </c>
      <c r="B42" s="16">
        <f>IFERROR(__xludf.DUMMYFUNCTION("""COMPUTED_VALUE"""),3.0)</f>
        <v>3</v>
      </c>
      <c r="C42" s="17">
        <f>IFERROR(__xludf.DUMMYFUNCTION("""COMPUTED_VALUE"""),16.764999999999986)</f>
        <v>16.765</v>
      </c>
      <c r="D42" s="17">
        <f>IFERROR(__xludf.DUMMYFUNCTION("""COMPUTED_VALUE"""),-2001.21)</f>
        <v>-2001.21</v>
      </c>
      <c r="E42" s="17">
        <f>IFERROR(__xludf.DUMMYFUNCTION("""COMPUTED_VALUE"""),3146.5)</f>
        <v>3146.5</v>
      </c>
      <c r="F42" s="17">
        <f>IFERROR(__xludf.DUMMYFUNCTION("""COMPUTED_VALUE"""),8235.75)</f>
        <v>8235.75</v>
      </c>
      <c r="G42" s="17">
        <f>IFERROR(__xludf.DUMMYFUNCTION("""COMPUTED_VALUE"""),3163.26)</f>
        <v>3163.26</v>
      </c>
      <c r="H42" s="17">
        <f>IFERROR(__xludf.DUMMYFUNCTION("""COMPUTED_VALUE"""),6234.54)</f>
        <v>6234.54</v>
      </c>
    </row>
    <row r="43">
      <c r="A43" s="18" t="str">
        <f>IFERROR(__xludf.DUMMYFUNCTION("""COMPUTED_VALUE"""),"CAL-COM FCU")</f>
        <v>CAL-COM FCU</v>
      </c>
      <c r="B43" s="16">
        <f>IFERROR(__xludf.DUMMYFUNCTION("""COMPUTED_VALUE"""),3.0)</f>
        <v>3</v>
      </c>
      <c r="C43" s="17">
        <f>IFERROR(__xludf.DUMMYFUNCTION("""COMPUTED_VALUE"""),-1337.05)</f>
        <v>-1337.05</v>
      </c>
      <c r="D43" s="17">
        <f>IFERROR(__xludf.DUMMYFUNCTION("""COMPUTED_VALUE"""),-4011.16)</f>
        <v>-4011.16</v>
      </c>
      <c r="E43" s="17">
        <f>IFERROR(__xludf.DUMMYFUNCTION("""COMPUTED_VALUE"""),4099.28)</f>
        <v>4099.28</v>
      </c>
      <c r="F43" s="17">
        <f>IFERROR(__xludf.DUMMYFUNCTION("""COMPUTED_VALUE"""),12297.83)</f>
        <v>12297.83</v>
      </c>
      <c r="G43" s="17">
        <f>IFERROR(__xludf.DUMMYFUNCTION("""COMPUTED_VALUE"""),2762.22)</f>
        <v>2762.22</v>
      </c>
      <c r="H43" s="17">
        <f>IFERROR(__xludf.DUMMYFUNCTION("""COMPUTED_VALUE"""),8286.67)</f>
        <v>8286.67</v>
      </c>
    </row>
    <row r="44">
      <c r="A44" s="18" t="str">
        <f>IFERROR(__xludf.DUMMYFUNCTION("""COMPUTED_VALUE"""),"UNION SQUARE CU")</f>
        <v>UNION SQUARE CU</v>
      </c>
      <c r="B44" s="16">
        <f>IFERROR(__xludf.DUMMYFUNCTION("""COMPUTED_VALUE"""),2.0)</f>
        <v>2</v>
      </c>
      <c r="C44" s="17">
        <f>IFERROR(__xludf.DUMMYFUNCTION("""COMPUTED_VALUE"""),1110.95)</f>
        <v>1110.95</v>
      </c>
      <c r="D44" s="17">
        <f>IFERROR(__xludf.DUMMYFUNCTION("""COMPUTED_VALUE"""),2221.89)</f>
        <v>2221.89</v>
      </c>
      <c r="E44" s="17">
        <f>IFERROR(__xludf.DUMMYFUNCTION("""COMPUTED_VALUE"""),2907.69)</f>
        <v>2907.69</v>
      </c>
      <c r="F44" s="17">
        <f>IFERROR(__xludf.DUMMYFUNCTION("""COMPUTED_VALUE"""),5815.37)</f>
        <v>5815.37</v>
      </c>
      <c r="G44" s="17">
        <f>IFERROR(__xludf.DUMMYFUNCTION("""COMPUTED_VALUE"""),4018.63)</f>
        <v>4018.63</v>
      </c>
      <c r="H44" s="17">
        <f>IFERROR(__xludf.DUMMYFUNCTION("""COMPUTED_VALUE"""),8037.26)</f>
        <v>8037.26</v>
      </c>
    </row>
    <row r="45">
      <c r="A45" s="18" t="str">
        <f>IFERROR(__xludf.DUMMYFUNCTION("""COMPUTED_VALUE"""),"SKYWARD CU")</f>
        <v>SKYWARD CU</v>
      </c>
      <c r="B45" s="16">
        <f>IFERROR(__xludf.DUMMYFUNCTION("""COMPUTED_VALUE"""),2.0)</f>
        <v>2</v>
      </c>
      <c r="C45" s="17">
        <f>IFERROR(__xludf.DUMMYFUNCTION("""COMPUTED_VALUE"""),510.5)</f>
        <v>510.5</v>
      </c>
      <c r="D45" s="17">
        <f>IFERROR(__xludf.DUMMYFUNCTION("""COMPUTED_VALUE"""),1021.0)</f>
        <v>1021</v>
      </c>
      <c r="E45" s="17">
        <f>IFERROR(__xludf.DUMMYFUNCTION("""COMPUTED_VALUE"""),2305.35)</f>
        <v>2305.35</v>
      </c>
      <c r="F45" s="17">
        <f>IFERROR(__xludf.DUMMYFUNCTION("""COMPUTED_VALUE"""),4610.7)</f>
        <v>4610.7</v>
      </c>
      <c r="G45" s="17">
        <f>IFERROR(__xludf.DUMMYFUNCTION("""COMPUTED_VALUE"""),2815.85)</f>
        <v>2815.85</v>
      </c>
      <c r="H45" s="17">
        <f>IFERROR(__xludf.DUMMYFUNCTION("""COMPUTED_VALUE"""),5631.7)</f>
        <v>5631.7</v>
      </c>
    </row>
    <row r="46">
      <c r="A46" s="18" t="str">
        <f>IFERROR(__xludf.DUMMYFUNCTION("""COMPUTED_VALUE"""),"SAFCO")</f>
        <v>SAFCO</v>
      </c>
      <c r="B46" s="16">
        <f>IFERROR(__xludf.DUMMYFUNCTION("""COMPUTED_VALUE"""),2.0)</f>
        <v>2</v>
      </c>
      <c r="C46" s="17">
        <f>IFERROR(__xludf.DUMMYFUNCTION("""COMPUTED_VALUE"""),-2019.11)</f>
        <v>-2019.11</v>
      </c>
      <c r="D46" s="17">
        <f>IFERROR(__xludf.DUMMYFUNCTION("""COMPUTED_VALUE"""),-4038.21)</f>
        <v>-4038.21</v>
      </c>
      <c r="E46" s="17">
        <f>IFERROR(__xludf.DUMMYFUNCTION("""COMPUTED_VALUE"""),1631.5)</f>
        <v>1631.5</v>
      </c>
      <c r="F46" s="17">
        <f>IFERROR(__xludf.DUMMYFUNCTION("""COMPUTED_VALUE"""),3263.0)</f>
        <v>3263</v>
      </c>
      <c r="G46" s="17">
        <f>IFERROR(__xludf.DUMMYFUNCTION("""COMPUTED_VALUE"""),-387.61)</f>
        <v>-387.61</v>
      </c>
      <c r="H46" s="17">
        <f>IFERROR(__xludf.DUMMYFUNCTION("""COMPUTED_VALUE"""),-775.21)</f>
        <v>-775.21</v>
      </c>
    </row>
    <row r="47">
      <c r="A47" s="18" t="str">
        <f>IFERROR(__xludf.DUMMYFUNCTION("""COMPUTED_VALUE"""),"OUACHITA VALLEY FCU")</f>
        <v>OUACHITA VALLEY FCU</v>
      </c>
      <c r="B47" s="16">
        <f>IFERROR(__xludf.DUMMYFUNCTION("""COMPUTED_VALUE"""),2.0)</f>
        <v>2</v>
      </c>
      <c r="C47" s="17">
        <f>IFERROR(__xludf.DUMMYFUNCTION("""COMPUTED_VALUE"""),1909.32)</f>
        <v>1909.32</v>
      </c>
      <c r="D47" s="17">
        <f>IFERROR(__xludf.DUMMYFUNCTION("""COMPUTED_VALUE"""),3818.64)</f>
        <v>3818.64</v>
      </c>
      <c r="E47" s="17">
        <f>IFERROR(__xludf.DUMMYFUNCTION("""COMPUTED_VALUE"""),1636.07)</f>
        <v>1636.07</v>
      </c>
      <c r="F47" s="17">
        <f>IFERROR(__xludf.DUMMYFUNCTION("""COMPUTED_VALUE"""),3272.14)</f>
        <v>3272.14</v>
      </c>
      <c r="G47" s="17">
        <f>IFERROR(__xludf.DUMMYFUNCTION("""COMPUTED_VALUE"""),3545.39)</f>
        <v>3545.39</v>
      </c>
      <c r="H47" s="17">
        <f>IFERROR(__xludf.DUMMYFUNCTION("""COMPUTED_VALUE"""),7090.78)</f>
        <v>7090.78</v>
      </c>
    </row>
    <row r="48">
      <c r="A48" s="18" t="str">
        <f>IFERROR(__xludf.DUMMYFUNCTION("""COMPUTED_VALUE"""),"FLAGSHIP CREDIT ACCEPTANCE")</f>
        <v>FLAGSHIP CREDIT ACCEPTANCE</v>
      </c>
      <c r="B48" s="16">
        <f>IFERROR(__xludf.DUMMYFUNCTION("""COMPUTED_VALUE"""),2.0)</f>
        <v>2</v>
      </c>
      <c r="C48" s="17">
        <f>IFERROR(__xludf.DUMMYFUNCTION("""COMPUTED_VALUE"""),1365.66)</f>
        <v>1365.66</v>
      </c>
      <c r="D48" s="17">
        <f>IFERROR(__xludf.DUMMYFUNCTION("""COMPUTED_VALUE"""),2731.31)</f>
        <v>2731.31</v>
      </c>
      <c r="E48" s="17">
        <f>IFERROR(__xludf.DUMMYFUNCTION("""COMPUTED_VALUE"""),740.4)</f>
        <v>740.4</v>
      </c>
      <c r="F48" s="17">
        <f>IFERROR(__xludf.DUMMYFUNCTION("""COMPUTED_VALUE"""),1480.79)</f>
        <v>1480.79</v>
      </c>
      <c r="G48" s="17">
        <f>IFERROR(__xludf.DUMMYFUNCTION("""COMPUTED_VALUE"""),2106.05)</f>
        <v>2106.05</v>
      </c>
      <c r="H48" s="17">
        <f>IFERROR(__xludf.DUMMYFUNCTION("""COMPUTED_VALUE"""),4212.1)</f>
        <v>4212.1</v>
      </c>
    </row>
    <row r="49">
      <c r="A49" s="18" t="str">
        <f>IFERROR(__xludf.DUMMYFUNCTION("""COMPUTED_VALUE"""),"FINANCE POINT")</f>
        <v>FINANCE POINT</v>
      </c>
      <c r="B49" s="16">
        <f>IFERROR(__xludf.DUMMYFUNCTION("""COMPUTED_VALUE"""),2.0)</f>
        <v>2</v>
      </c>
      <c r="C49" s="17">
        <f>IFERROR(__xludf.DUMMYFUNCTION("""COMPUTED_VALUE"""),345.2)</f>
        <v>345.2</v>
      </c>
      <c r="D49" s="17">
        <f>IFERROR(__xludf.DUMMYFUNCTION("""COMPUTED_VALUE"""),690.4)</f>
        <v>690.4</v>
      </c>
      <c r="E49" s="17">
        <f>IFERROR(__xludf.DUMMYFUNCTION("""COMPUTED_VALUE"""),894.0)</f>
        <v>894</v>
      </c>
      <c r="F49" s="17">
        <f>IFERROR(__xludf.DUMMYFUNCTION("""COMPUTED_VALUE"""),1788.0)</f>
        <v>1788</v>
      </c>
      <c r="G49" s="17">
        <f>IFERROR(__xludf.DUMMYFUNCTION("""COMPUTED_VALUE"""),1239.2)</f>
        <v>1239.2</v>
      </c>
      <c r="H49" s="17">
        <f>IFERROR(__xludf.DUMMYFUNCTION("""COMPUTED_VALUE"""),2478.4)</f>
        <v>2478.4</v>
      </c>
    </row>
    <row r="50">
      <c r="A50" s="18" t="str">
        <f>IFERROR(__xludf.DUMMYFUNCTION("""COMPUTED_VALUE"""),"EAST TEXAS PROFESSIONAL CU")</f>
        <v>EAST TEXAS PROFESSIONAL CU</v>
      </c>
      <c r="B50" s="16">
        <f>IFERROR(__xludf.DUMMYFUNCTION("""COMPUTED_VALUE"""),2.0)</f>
        <v>2</v>
      </c>
      <c r="C50" s="17">
        <f>IFERROR(__xludf.DUMMYFUNCTION("""COMPUTED_VALUE"""),632.9649999999999)</f>
        <v>632.965</v>
      </c>
      <c r="D50" s="17">
        <f>IFERROR(__xludf.DUMMYFUNCTION("""COMPUTED_VALUE"""),1265.9299999999998)</f>
        <v>1265.93</v>
      </c>
      <c r="E50" s="17">
        <f>IFERROR(__xludf.DUMMYFUNCTION("""COMPUTED_VALUE"""),1717.0)</f>
        <v>1717</v>
      </c>
      <c r="F50" s="17">
        <f>IFERROR(__xludf.DUMMYFUNCTION("""COMPUTED_VALUE"""),3434.0)</f>
        <v>3434</v>
      </c>
      <c r="G50" s="17">
        <f>IFERROR(__xludf.DUMMYFUNCTION("""COMPUTED_VALUE"""),2349.965)</f>
        <v>2349.965</v>
      </c>
      <c r="H50" s="17">
        <f>IFERROR(__xludf.DUMMYFUNCTION("""COMPUTED_VALUE"""),4699.93)</f>
        <v>4699.93</v>
      </c>
    </row>
    <row r="51">
      <c r="A51" s="18" t="str">
        <f>IFERROR(__xludf.DUMMYFUNCTION("""COMPUTED_VALUE"""),"DATCU")</f>
        <v>DATCU</v>
      </c>
      <c r="B51" s="16">
        <f>IFERROR(__xludf.DUMMYFUNCTION("""COMPUTED_VALUE"""),2.0)</f>
        <v>2</v>
      </c>
      <c r="C51" s="17">
        <f>IFERROR(__xludf.DUMMYFUNCTION("""COMPUTED_VALUE"""),556.54)</f>
        <v>556.54</v>
      </c>
      <c r="D51" s="17">
        <f>IFERROR(__xludf.DUMMYFUNCTION("""COMPUTED_VALUE"""),1113.07)</f>
        <v>1113.07</v>
      </c>
      <c r="E51" s="17">
        <f>IFERROR(__xludf.DUMMYFUNCTION("""COMPUTED_VALUE"""),704.0)</f>
        <v>704</v>
      </c>
      <c r="F51" s="17">
        <f>IFERROR(__xludf.DUMMYFUNCTION("""COMPUTED_VALUE"""),1408.0)</f>
        <v>1408</v>
      </c>
      <c r="G51" s="17">
        <f>IFERROR(__xludf.DUMMYFUNCTION("""COMPUTED_VALUE"""),1260.54)</f>
        <v>1260.54</v>
      </c>
      <c r="H51" s="17">
        <f>IFERROR(__xludf.DUMMYFUNCTION("""COMPUTED_VALUE"""),2521.07)</f>
        <v>2521.07</v>
      </c>
    </row>
    <row r="52">
      <c r="A52" s="18"/>
      <c r="B52" s="16">
        <f>IFERROR(__xludf.DUMMYFUNCTION("""COMPUTED_VALUE"""),2.0)</f>
        <v>2</v>
      </c>
      <c r="C52" s="17">
        <f>IFERROR(__xludf.DUMMYFUNCTION("""COMPUTED_VALUE"""),394.15)</f>
        <v>394.15</v>
      </c>
      <c r="D52" s="17">
        <f>IFERROR(__xludf.DUMMYFUNCTION("""COMPUTED_VALUE"""),788.3)</f>
        <v>788.3</v>
      </c>
      <c r="E52" s="17">
        <f>IFERROR(__xludf.DUMMYFUNCTION("""COMPUTED_VALUE"""),3112.3)</f>
        <v>3112.3</v>
      </c>
      <c r="F52" s="17">
        <f>IFERROR(__xludf.DUMMYFUNCTION("""COMPUTED_VALUE"""),6224.6)</f>
        <v>6224.6</v>
      </c>
      <c r="G52" s="17">
        <f>IFERROR(__xludf.DUMMYFUNCTION("""COMPUTED_VALUE"""),3506.45)</f>
        <v>3506.45</v>
      </c>
      <c r="H52" s="17">
        <f>IFERROR(__xludf.DUMMYFUNCTION("""COMPUTED_VALUE"""),7012.9)</f>
        <v>7012.9</v>
      </c>
    </row>
    <row r="53">
      <c r="A53" s="18" t="str">
        <f>IFERROR(__xludf.DUMMYFUNCTION("""COMPUTED_VALUE"""),"WICHITA FALLS TEACHERS FCU")</f>
        <v>WICHITA FALLS TEACHERS FCU</v>
      </c>
      <c r="B53" s="16">
        <f>IFERROR(__xludf.DUMMYFUNCTION("""COMPUTED_VALUE"""),1.0)</f>
        <v>1</v>
      </c>
      <c r="C53" s="17">
        <f>IFERROR(__xludf.DUMMYFUNCTION("""COMPUTED_VALUE"""),-2410.47)</f>
        <v>-2410.47</v>
      </c>
      <c r="D53" s="17">
        <f>IFERROR(__xludf.DUMMYFUNCTION("""COMPUTED_VALUE"""),-2410.47)</f>
        <v>-2410.47</v>
      </c>
      <c r="E53" s="17">
        <f>IFERROR(__xludf.DUMMYFUNCTION("""COMPUTED_VALUE"""),3973.75)</f>
        <v>3973.75</v>
      </c>
      <c r="F53" s="17">
        <f>IFERROR(__xludf.DUMMYFUNCTION("""COMPUTED_VALUE"""),3973.75)</f>
        <v>3973.75</v>
      </c>
      <c r="G53" s="17">
        <f>IFERROR(__xludf.DUMMYFUNCTION("""COMPUTED_VALUE"""),1563.28)</f>
        <v>1563.28</v>
      </c>
      <c r="H53" s="17">
        <f>IFERROR(__xludf.DUMMYFUNCTION("""COMPUTED_VALUE"""),1563.28)</f>
        <v>1563.28</v>
      </c>
    </row>
    <row r="54">
      <c r="A54" s="18" t="str">
        <f>IFERROR(__xludf.DUMMYFUNCTION("""COMPUTED_VALUE"""),"US EMPLOYEES OC FCU")</f>
        <v>US EMPLOYEES OC FCU</v>
      </c>
      <c r="B54" s="16">
        <f>IFERROR(__xludf.DUMMYFUNCTION("""COMPUTED_VALUE"""),1.0)</f>
        <v>1</v>
      </c>
      <c r="C54" s="17">
        <f>IFERROR(__xludf.DUMMYFUNCTION("""COMPUTED_VALUE"""),3465.0)</f>
        <v>3465</v>
      </c>
      <c r="D54" s="17">
        <f>IFERROR(__xludf.DUMMYFUNCTION("""COMPUTED_VALUE"""),3465.0)</f>
        <v>3465</v>
      </c>
      <c r="E54" s="17">
        <f>IFERROR(__xludf.DUMMYFUNCTION("""COMPUTED_VALUE"""),775.89)</f>
        <v>775.89</v>
      </c>
      <c r="F54" s="17">
        <f>IFERROR(__xludf.DUMMYFUNCTION("""COMPUTED_VALUE"""),775.89)</f>
        <v>775.89</v>
      </c>
      <c r="G54" s="17">
        <f>IFERROR(__xludf.DUMMYFUNCTION("""COMPUTED_VALUE"""),4240.89)</f>
        <v>4240.89</v>
      </c>
      <c r="H54" s="17">
        <f>IFERROR(__xludf.DUMMYFUNCTION("""COMPUTED_VALUE"""),4240.89)</f>
        <v>4240.89</v>
      </c>
    </row>
    <row r="55">
      <c r="A55" s="18" t="str">
        <f>IFERROR(__xludf.DUMMYFUNCTION("""COMPUTED_VALUE"""),"SOUTHWEST NATIONAL BANK")</f>
        <v>SOUTHWEST NATIONAL BANK</v>
      </c>
      <c r="B55" s="16">
        <f>IFERROR(__xludf.DUMMYFUNCTION("""COMPUTED_VALUE"""),1.0)</f>
        <v>1</v>
      </c>
      <c r="C55" s="17">
        <f>IFERROR(__xludf.DUMMYFUNCTION("""COMPUTED_VALUE"""),1071.39)</f>
        <v>1071.39</v>
      </c>
      <c r="D55" s="17">
        <f>IFERROR(__xludf.DUMMYFUNCTION("""COMPUTED_VALUE"""),1071.39)</f>
        <v>1071.39</v>
      </c>
      <c r="E55" s="17">
        <f>IFERROR(__xludf.DUMMYFUNCTION("""COMPUTED_VALUE"""),3871.79)</f>
        <v>3871.79</v>
      </c>
      <c r="F55" s="17">
        <f>IFERROR(__xludf.DUMMYFUNCTION("""COMPUTED_VALUE"""),3871.79)</f>
        <v>3871.79</v>
      </c>
      <c r="G55" s="17">
        <f>IFERROR(__xludf.DUMMYFUNCTION("""COMPUTED_VALUE"""),4943.18)</f>
        <v>4943.18</v>
      </c>
      <c r="H55" s="17">
        <f>IFERROR(__xludf.DUMMYFUNCTION("""COMPUTED_VALUE"""),4943.18)</f>
        <v>4943.18</v>
      </c>
    </row>
    <row r="56">
      <c r="A56" s="18" t="str">
        <f>IFERROR(__xludf.DUMMYFUNCTION("""COMPUTED_VALUE"""),"QUANTUM CU")</f>
        <v>QUANTUM CU</v>
      </c>
      <c r="B56" s="16">
        <f>IFERROR(__xludf.DUMMYFUNCTION("""COMPUTED_VALUE"""),1.0)</f>
        <v>1</v>
      </c>
      <c r="C56" s="17">
        <f>IFERROR(__xludf.DUMMYFUNCTION("""COMPUTED_VALUE"""),-1108.27)</f>
        <v>-1108.27</v>
      </c>
      <c r="D56" s="17">
        <f>IFERROR(__xludf.DUMMYFUNCTION("""COMPUTED_VALUE"""),-1108.27)</f>
        <v>-1108.27</v>
      </c>
      <c r="E56" s="17">
        <f>IFERROR(__xludf.DUMMYFUNCTION("""COMPUTED_VALUE"""),3169.38)</f>
        <v>3169.38</v>
      </c>
      <c r="F56" s="17">
        <f>IFERROR(__xludf.DUMMYFUNCTION("""COMPUTED_VALUE"""),3169.38)</f>
        <v>3169.38</v>
      </c>
      <c r="G56" s="17">
        <f>IFERROR(__xludf.DUMMYFUNCTION("""COMPUTED_VALUE"""),2061.11)</f>
        <v>2061.11</v>
      </c>
      <c r="H56" s="17">
        <f>IFERROR(__xludf.DUMMYFUNCTION("""COMPUTED_VALUE"""),2061.11)</f>
        <v>2061.11</v>
      </c>
    </row>
    <row r="57">
      <c r="A57" s="18" t="str">
        <f>IFERROR(__xludf.DUMMYFUNCTION("""COMPUTED_VALUE"""),"OKLAHOMA'S CU")</f>
        <v>OKLAHOMA'S CU</v>
      </c>
      <c r="B57" s="16">
        <f>IFERROR(__xludf.DUMMYFUNCTION("""COMPUTED_VALUE"""),1.0)</f>
        <v>1</v>
      </c>
      <c r="C57" s="17">
        <f>IFERROR(__xludf.DUMMYFUNCTION("""COMPUTED_VALUE"""),-437.29)</f>
        <v>-437.29</v>
      </c>
      <c r="D57" s="17">
        <f>IFERROR(__xludf.DUMMYFUNCTION("""COMPUTED_VALUE"""),-437.29)</f>
        <v>-437.29</v>
      </c>
      <c r="E57" s="17">
        <f>IFERROR(__xludf.DUMMYFUNCTION("""COMPUTED_VALUE"""),2375.0)</f>
        <v>2375</v>
      </c>
      <c r="F57" s="17">
        <f>IFERROR(__xludf.DUMMYFUNCTION("""COMPUTED_VALUE"""),2375.0)</f>
        <v>2375</v>
      </c>
      <c r="G57" s="17">
        <f>IFERROR(__xludf.DUMMYFUNCTION("""COMPUTED_VALUE"""),1937.71)</f>
        <v>1937.71</v>
      </c>
      <c r="H57" s="17">
        <f>IFERROR(__xludf.DUMMYFUNCTION("""COMPUTED_VALUE"""),1937.71)</f>
        <v>1937.71</v>
      </c>
    </row>
    <row r="58">
      <c r="A58" s="18" t="str">
        <f>IFERROR(__xludf.DUMMYFUNCTION("""COMPUTED_VALUE"""),"GREAT PLAINS FCU")</f>
        <v>GREAT PLAINS FCU</v>
      </c>
      <c r="B58" s="16">
        <f>IFERROR(__xludf.DUMMYFUNCTION("""COMPUTED_VALUE"""),1.0)</f>
        <v>1</v>
      </c>
      <c r="C58" s="17">
        <f>IFERROR(__xludf.DUMMYFUNCTION("""COMPUTED_VALUE"""),-1476.75)</f>
        <v>-1476.75</v>
      </c>
      <c r="D58" s="17">
        <f>IFERROR(__xludf.DUMMYFUNCTION("""COMPUTED_VALUE"""),-1476.75)</f>
        <v>-1476.75</v>
      </c>
      <c r="E58" s="17">
        <f>IFERROR(__xludf.DUMMYFUNCTION("""COMPUTED_VALUE"""),1924.76)</f>
        <v>1924.76</v>
      </c>
      <c r="F58" s="17">
        <f>IFERROR(__xludf.DUMMYFUNCTION("""COMPUTED_VALUE"""),1924.76)</f>
        <v>1924.76</v>
      </c>
      <c r="G58" s="17">
        <f>IFERROR(__xludf.DUMMYFUNCTION("""COMPUTED_VALUE"""),448.01)</f>
        <v>448.01</v>
      </c>
      <c r="H58" s="17">
        <f>IFERROR(__xludf.DUMMYFUNCTION("""COMPUTED_VALUE"""),448.01)</f>
        <v>448.01</v>
      </c>
    </row>
    <row r="59">
      <c r="A59" s="18" t="str">
        <f>IFERROR(__xludf.DUMMYFUNCTION("""COMPUTED_VALUE"""),"FIRST HELP FINANCIAL")</f>
        <v>FIRST HELP FINANCIAL</v>
      </c>
      <c r="B59" s="16">
        <f>IFERROR(__xludf.DUMMYFUNCTION("""COMPUTED_VALUE"""),1.0)</f>
        <v>1</v>
      </c>
      <c r="C59" s="17">
        <f>IFERROR(__xludf.DUMMYFUNCTION("""COMPUTED_VALUE"""),-1809.99)</f>
        <v>-1809.99</v>
      </c>
      <c r="D59" s="17">
        <f>IFERROR(__xludf.DUMMYFUNCTION("""COMPUTED_VALUE"""),-1809.99)</f>
        <v>-1809.99</v>
      </c>
      <c r="E59" s="17">
        <f>IFERROR(__xludf.DUMMYFUNCTION("""COMPUTED_VALUE"""),747.0)</f>
        <v>747</v>
      </c>
      <c r="F59" s="17">
        <f>IFERROR(__xludf.DUMMYFUNCTION("""COMPUTED_VALUE"""),747.0)</f>
        <v>747</v>
      </c>
      <c r="G59" s="17">
        <f>IFERROR(__xludf.DUMMYFUNCTION("""COMPUTED_VALUE"""),-1062.99)</f>
        <v>-1062.99</v>
      </c>
      <c r="H59" s="17">
        <f>IFERROR(__xludf.DUMMYFUNCTION("""COMPUTED_VALUE"""),-1062.99)</f>
        <v>-1062.99</v>
      </c>
    </row>
    <row r="60">
      <c r="A60" s="18" t="str">
        <f>IFERROR(__xludf.DUMMYFUNCTION("""COMPUTED_VALUE"""),"EDUCATORS CU")</f>
        <v>EDUCATORS CU</v>
      </c>
      <c r="B60" s="16">
        <f>IFERROR(__xludf.DUMMYFUNCTION("""COMPUTED_VALUE"""),1.0)</f>
        <v>1</v>
      </c>
      <c r="C60" s="17">
        <f>IFERROR(__xludf.DUMMYFUNCTION("""COMPUTED_VALUE"""),-5409.99)</f>
        <v>-5409.99</v>
      </c>
      <c r="D60" s="17">
        <f>IFERROR(__xludf.DUMMYFUNCTION("""COMPUTED_VALUE"""),-5409.99)</f>
        <v>-5409.99</v>
      </c>
      <c r="E60" s="17">
        <f>IFERROR(__xludf.DUMMYFUNCTION("""COMPUTED_VALUE"""),2018.99)</f>
        <v>2018.99</v>
      </c>
      <c r="F60" s="17">
        <f>IFERROR(__xludf.DUMMYFUNCTION("""COMPUTED_VALUE"""),2018.99)</f>
        <v>2018.99</v>
      </c>
      <c r="G60" s="17">
        <f>IFERROR(__xludf.DUMMYFUNCTION("""COMPUTED_VALUE"""),-3391.0)</f>
        <v>-3391</v>
      </c>
      <c r="H60" s="17">
        <f>IFERROR(__xludf.DUMMYFUNCTION("""COMPUTED_VALUE"""),-3391.0)</f>
        <v>-3391</v>
      </c>
    </row>
    <row r="61">
      <c r="A61" s="18" t="str">
        <f>IFERROR(__xludf.DUMMYFUNCTION("""COMPUTED_VALUE"""),"BANK OF AMERICA")</f>
        <v>BANK OF AMERICA</v>
      </c>
      <c r="B61" s="16">
        <f>IFERROR(__xludf.DUMMYFUNCTION("""COMPUTED_VALUE"""),1.0)</f>
        <v>1</v>
      </c>
      <c r="C61" s="17">
        <f>IFERROR(__xludf.DUMMYFUNCTION("""COMPUTED_VALUE"""),-1070.34)</f>
        <v>-1070.34</v>
      </c>
      <c r="D61" s="17">
        <f>IFERROR(__xludf.DUMMYFUNCTION("""COMPUTED_VALUE"""),-1070.34)</f>
        <v>-1070.34</v>
      </c>
      <c r="E61" s="17">
        <f>IFERROR(__xludf.DUMMYFUNCTION("""COMPUTED_VALUE"""),3816.63)</f>
        <v>3816.63</v>
      </c>
      <c r="F61" s="17">
        <f>IFERROR(__xludf.DUMMYFUNCTION("""COMPUTED_VALUE"""),3816.63)</f>
        <v>3816.63</v>
      </c>
      <c r="G61" s="17">
        <f>IFERROR(__xludf.DUMMYFUNCTION("""COMPUTED_VALUE"""),2746.29)</f>
        <v>2746.29</v>
      </c>
      <c r="H61" s="17">
        <f>IFERROR(__xludf.DUMMYFUNCTION("""COMPUTED_VALUE"""),2746.29)</f>
        <v>2746.29</v>
      </c>
    </row>
    <row r="62">
      <c r="A62" s="18" t="str">
        <f>IFERROR(__xludf.DUMMYFUNCTION("""COMPUTED_VALUE"""),"AUSTIN BANK TEXAS ")</f>
        <v>AUSTIN BANK TEXAS </v>
      </c>
      <c r="B62" s="16">
        <f>IFERROR(__xludf.DUMMYFUNCTION("""COMPUTED_VALUE"""),1.0)</f>
        <v>1</v>
      </c>
      <c r="C62" s="17">
        <f>IFERROR(__xludf.DUMMYFUNCTION("""COMPUTED_VALUE"""),4800.25)</f>
        <v>4800.25</v>
      </c>
      <c r="D62" s="17">
        <f>IFERROR(__xludf.DUMMYFUNCTION("""COMPUTED_VALUE"""),4800.25)</f>
        <v>4800.25</v>
      </c>
      <c r="E62" s="17">
        <f>IFERROR(__xludf.DUMMYFUNCTION("""COMPUTED_VALUE"""),733.0)</f>
        <v>733</v>
      </c>
      <c r="F62" s="17">
        <f>IFERROR(__xludf.DUMMYFUNCTION("""COMPUTED_VALUE"""),733.0)</f>
        <v>733</v>
      </c>
      <c r="G62" s="17">
        <f>IFERROR(__xludf.DUMMYFUNCTION("""COMPUTED_VALUE"""),5533.25)</f>
        <v>5533.25</v>
      </c>
      <c r="H62" s="17">
        <f>IFERROR(__xludf.DUMMYFUNCTION("""COMPUTED_VALUE"""),5533.25)</f>
        <v>5533.25</v>
      </c>
    </row>
    <row r="63">
      <c r="A63" s="18" t="str">
        <f>IFERROR(__xludf.DUMMYFUNCTION("""COMPUTED_VALUE"""),"AMERICREDIT FINANCIAL SERVICES")</f>
        <v>AMERICREDIT FINANCIAL SERVICES</v>
      </c>
      <c r="B63" s="16">
        <f>IFERROR(__xludf.DUMMYFUNCTION("""COMPUTED_VALUE"""),1.0)</f>
        <v>1</v>
      </c>
      <c r="C63" s="17">
        <f>IFERROR(__xludf.DUMMYFUNCTION("""COMPUTED_VALUE"""),2268.6)</f>
        <v>2268.6</v>
      </c>
      <c r="D63" s="17">
        <f>IFERROR(__xludf.DUMMYFUNCTION("""COMPUTED_VALUE"""),2268.6)</f>
        <v>2268.6</v>
      </c>
      <c r="E63" s="17">
        <f>IFERROR(__xludf.DUMMYFUNCTION("""COMPUTED_VALUE"""),2072.48)</f>
        <v>2072.48</v>
      </c>
      <c r="F63" s="17">
        <f>IFERROR(__xludf.DUMMYFUNCTION("""COMPUTED_VALUE"""),2072.48)</f>
        <v>2072.48</v>
      </c>
      <c r="G63" s="17">
        <f>IFERROR(__xludf.DUMMYFUNCTION("""COMPUTED_VALUE"""),4341.08)</f>
        <v>4341.08</v>
      </c>
      <c r="H63" s="17">
        <f>IFERROR(__xludf.DUMMYFUNCTION("""COMPUTED_VALUE"""),4341.08)</f>
        <v>4341.08</v>
      </c>
    </row>
    <row r="64">
      <c r="A64" s="18"/>
      <c r="B64" s="19"/>
      <c r="C64" s="15"/>
      <c r="D64" s="15"/>
      <c r="E64" s="15"/>
      <c r="F64" s="15"/>
      <c r="G64" s="15"/>
      <c r="H64" s="15"/>
    </row>
    <row r="65">
      <c r="A65" s="18"/>
      <c r="B65" s="19"/>
      <c r="C65" s="15"/>
      <c r="D65" s="15"/>
      <c r="E65" s="15"/>
      <c r="F65" s="15"/>
      <c r="G65" s="15"/>
      <c r="H65" s="15"/>
    </row>
    <row r="66">
      <c r="A66" s="18"/>
      <c r="B66" s="19"/>
      <c r="C66" s="15"/>
      <c r="D66" s="15"/>
      <c r="E66" s="15"/>
      <c r="F66" s="15"/>
      <c r="G66" s="15"/>
      <c r="H66" s="15"/>
    </row>
    <row r="67">
      <c r="A67" s="18"/>
      <c r="B67" s="19"/>
      <c r="C67" s="15"/>
      <c r="D67" s="15"/>
      <c r="E67" s="15"/>
      <c r="F67" s="15"/>
      <c r="G67" s="15"/>
      <c r="H67" s="15"/>
    </row>
    <row r="68">
      <c r="A68" s="18"/>
      <c r="B68" s="19"/>
      <c r="C68" s="15"/>
      <c r="D68" s="15"/>
      <c r="E68" s="15"/>
      <c r="F68" s="15"/>
      <c r="G68" s="15"/>
      <c r="H68" s="15"/>
    </row>
    <row r="69">
      <c r="A69" s="18"/>
      <c r="B69" s="19"/>
      <c r="C69" s="15"/>
      <c r="D69" s="15"/>
      <c r="E69" s="15"/>
      <c r="F69" s="15"/>
      <c r="G69" s="15"/>
      <c r="H69" s="15"/>
    </row>
    <row r="70">
      <c r="A70" s="18"/>
      <c r="B70" s="19"/>
      <c r="C70" s="15"/>
      <c r="D70" s="15"/>
      <c r="E70" s="15"/>
      <c r="F70" s="15"/>
      <c r="G70" s="15"/>
      <c r="H70" s="15"/>
    </row>
    <row r="71">
      <c r="A71" s="18"/>
      <c r="B71" s="19"/>
      <c r="C71" s="15"/>
      <c r="D71" s="15"/>
      <c r="E71" s="15"/>
      <c r="F71" s="15"/>
      <c r="G71" s="15"/>
      <c r="H71" s="15"/>
    </row>
    <row r="72">
      <c r="A72" s="18"/>
      <c r="B72" s="19"/>
      <c r="C72" s="15"/>
      <c r="D72" s="15"/>
      <c r="E72" s="15"/>
      <c r="F72" s="15"/>
      <c r="G72" s="15"/>
      <c r="H72" s="15"/>
    </row>
    <row r="73">
      <c r="A73" s="18"/>
      <c r="B73" s="19"/>
      <c r="C73" s="15"/>
      <c r="D73" s="15"/>
      <c r="E73" s="15"/>
      <c r="F73" s="15"/>
      <c r="G73" s="15"/>
      <c r="H73" s="15"/>
    </row>
    <row r="74">
      <c r="A74" s="18"/>
      <c r="B74" s="19"/>
      <c r="C74" s="15"/>
      <c r="D74" s="15"/>
      <c r="E74" s="15"/>
      <c r="F74" s="15"/>
      <c r="G74" s="15"/>
      <c r="H74" s="15"/>
    </row>
    <row r="75">
      <c r="A75" s="18"/>
      <c r="B75" s="19"/>
      <c r="C75" s="15"/>
      <c r="D75" s="15"/>
      <c r="E75" s="15"/>
      <c r="F75" s="15"/>
      <c r="G75" s="15"/>
      <c r="H75" s="15"/>
    </row>
    <row r="76">
      <c r="A76" s="18"/>
      <c r="B76" s="19"/>
      <c r="C76" s="15"/>
      <c r="D76" s="15"/>
      <c r="E76" s="15"/>
      <c r="F76" s="15"/>
      <c r="G76" s="15"/>
      <c r="H76" s="15"/>
    </row>
    <row r="77">
      <c r="A77" s="15"/>
      <c r="B77" s="19"/>
      <c r="C77" s="15"/>
      <c r="D77" s="15"/>
      <c r="E77" s="15"/>
      <c r="F77" s="15"/>
      <c r="G77" s="15"/>
      <c r="H77" s="15"/>
    </row>
    <row r="78">
      <c r="A78" s="15"/>
      <c r="B78" s="19"/>
      <c r="C78" s="15"/>
      <c r="D78" s="15"/>
      <c r="E78" s="15"/>
      <c r="F78" s="15"/>
      <c r="G78" s="15"/>
      <c r="H78" s="15"/>
    </row>
    <row r="79">
      <c r="A79" s="18"/>
      <c r="B79" s="19"/>
      <c r="C79" s="15"/>
      <c r="D79" s="15"/>
      <c r="E79" s="15"/>
      <c r="F79" s="15"/>
      <c r="G79" s="15"/>
      <c r="H79" s="15"/>
    </row>
    <row r="80">
      <c r="A80" s="18"/>
      <c r="B80" s="19"/>
      <c r="C80" s="15"/>
      <c r="D80" s="15"/>
      <c r="E80" s="15"/>
      <c r="F80" s="15"/>
      <c r="G80" s="15"/>
      <c r="H80" s="15"/>
    </row>
    <row r="81">
      <c r="A81" s="18"/>
      <c r="B81" s="19"/>
      <c r="C81" s="15"/>
      <c r="D81" s="15"/>
      <c r="E81" s="15"/>
      <c r="F81" s="15"/>
      <c r="G81" s="15"/>
      <c r="H81" s="15"/>
    </row>
    <row r="82">
      <c r="A82" s="18"/>
      <c r="B82" s="19"/>
      <c r="C82" s="15"/>
      <c r="D82" s="15"/>
      <c r="E82" s="15"/>
      <c r="F82" s="15"/>
      <c r="G82" s="15"/>
      <c r="H82" s="15"/>
    </row>
    <row r="83">
      <c r="A83" s="18"/>
      <c r="B83" s="19"/>
      <c r="C83" s="15"/>
      <c r="D83" s="15"/>
      <c r="E83" s="15"/>
      <c r="F83" s="15"/>
      <c r="G83" s="15"/>
      <c r="H83" s="15"/>
    </row>
    <row r="84">
      <c r="A84" s="18"/>
      <c r="B84" s="19"/>
      <c r="C84" s="15"/>
      <c r="D84" s="15"/>
      <c r="E84" s="15"/>
      <c r="F84" s="15"/>
      <c r="G84" s="15"/>
      <c r="H84" s="15"/>
    </row>
    <row r="85">
      <c r="A85" s="18"/>
      <c r="B85" s="19"/>
      <c r="C85" s="15"/>
      <c r="D85" s="15"/>
      <c r="E85" s="15"/>
      <c r="F85" s="15"/>
      <c r="G85" s="15"/>
      <c r="H85" s="15"/>
    </row>
    <row r="86">
      <c r="A86" s="18"/>
      <c r="B86" s="19"/>
      <c r="C86" s="15"/>
      <c r="D86" s="15"/>
      <c r="E86" s="15"/>
      <c r="F86" s="15"/>
      <c r="G86" s="15"/>
      <c r="H86" s="15"/>
    </row>
    <row r="87">
      <c r="A87" s="18"/>
      <c r="B87" s="19"/>
      <c r="C87" s="15"/>
      <c r="D87" s="15"/>
      <c r="E87" s="15"/>
      <c r="F87" s="15"/>
      <c r="G87" s="15"/>
      <c r="H87" s="15"/>
    </row>
    <row r="88">
      <c r="A88" s="18"/>
      <c r="B88" s="19"/>
      <c r="C88" s="15"/>
      <c r="D88" s="15"/>
      <c r="E88" s="15"/>
      <c r="F88" s="15"/>
      <c r="G88" s="15"/>
      <c r="H88" s="15"/>
    </row>
    <row r="89">
      <c r="A89" s="18"/>
      <c r="B89" s="19"/>
      <c r="C89" s="15"/>
      <c r="D89" s="15"/>
      <c r="E89" s="15"/>
      <c r="F89" s="15"/>
      <c r="G89" s="15"/>
      <c r="H89" s="15"/>
    </row>
    <row r="90">
      <c r="A90" s="18"/>
      <c r="B90" s="19"/>
      <c r="C90" s="15"/>
      <c r="D90" s="15"/>
      <c r="E90" s="15"/>
      <c r="F90" s="15"/>
      <c r="G90" s="15"/>
      <c r="H90" s="15"/>
    </row>
    <row r="91">
      <c r="A91" s="18"/>
      <c r="B91" s="19"/>
      <c r="C91" s="15"/>
      <c r="D91" s="15"/>
      <c r="E91" s="15"/>
      <c r="F91" s="15"/>
      <c r="G91" s="15"/>
      <c r="H91" s="15"/>
    </row>
    <row r="92">
      <c r="A92" s="18"/>
      <c r="B92" s="19"/>
      <c r="C92" s="15"/>
      <c r="D92" s="15"/>
      <c r="E92" s="15"/>
      <c r="F92" s="15"/>
      <c r="G92" s="15"/>
      <c r="H92" s="15"/>
    </row>
    <row r="93">
      <c r="A93" s="18"/>
      <c r="B93" s="19"/>
      <c r="C93" s="15"/>
      <c r="D93" s="15"/>
      <c r="E93" s="15"/>
      <c r="F93" s="15"/>
      <c r="G93" s="15"/>
      <c r="H93" s="15"/>
    </row>
    <row r="94">
      <c r="A94" s="18"/>
      <c r="B94" s="19"/>
      <c r="C94" s="15"/>
      <c r="D94" s="15"/>
      <c r="E94" s="15"/>
      <c r="F94" s="15"/>
      <c r="G94" s="15"/>
      <c r="H94" s="15"/>
    </row>
    <row r="95">
      <c r="A95" s="18"/>
      <c r="B95" s="19"/>
      <c r="C95" s="15"/>
      <c r="D95" s="15"/>
      <c r="E95" s="15"/>
      <c r="F95" s="15"/>
      <c r="G95" s="15"/>
      <c r="H95" s="15"/>
    </row>
    <row r="96">
      <c r="A96" s="18"/>
      <c r="B96" s="19"/>
      <c r="C96" s="15"/>
      <c r="D96" s="15"/>
      <c r="E96" s="15"/>
      <c r="F96" s="15"/>
      <c r="G96" s="15"/>
      <c r="H96" s="15"/>
    </row>
    <row r="97">
      <c r="A97" s="18"/>
      <c r="B97" s="19"/>
      <c r="C97" s="15"/>
      <c r="D97" s="15"/>
      <c r="E97" s="15"/>
      <c r="F97" s="15"/>
      <c r="G97" s="15"/>
      <c r="H97" s="15"/>
    </row>
    <row r="98">
      <c r="A98" s="18"/>
      <c r="B98" s="19"/>
      <c r="C98" s="15"/>
      <c r="D98" s="15"/>
      <c r="E98" s="15"/>
      <c r="F98" s="15"/>
      <c r="G98" s="15"/>
      <c r="H98" s="15"/>
    </row>
    <row r="99">
      <c r="A99" s="15"/>
      <c r="B99" s="19"/>
      <c r="C99" s="15"/>
      <c r="D99" s="15"/>
      <c r="E99" s="15"/>
      <c r="F99" s="15"/>
      <c r="G99" s="15"/>
      <c r="H99" s="15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  <row r="112">
      <c r="B112" s="19"/>
    </row>
    <row r="113">
      <c r="B113" s="19"/>
    </row>
    <row r="114">
      <c r="B114" s="19"/>
    </row>
    <row r="115">
      <c r="B115" s="19"/>
    </row>
    <row r="116">
      <c r="B116" s="19"/>
    </row>
    <row r="117">
      <c r="B117" s="19"/>
    </row>
    <row r="118">
      <c r="B118" s="19"/>
    </row>
    <row r="119">
      <c r="B119" s="19"/>
    </row>
    <row r="120">
      <c r="B120" s="19"/>
    </row>
    <row r="121">
      <c r="B121" s="19"/>
    </row>
    <row r="122">
      <c r="B122" s="19"/>
    </row>
    <row r="123">
      <c r="B123" s="19"/>
    </row>
    <row r="124">
      <c r="B124" s="19"/>
    </row>
    <row r="125">
      <c r="B125" s="19"/>
    </row>
    <row r="126">
      <c r="B126" s="19"/>
    </row>
    <row r="127">
      <c r="B127" s="19"/>
    </row>
    <row r="128">
      <c r="B128" s="19"/>
    </row>
    <row r="129">
      <c r="B129" s="19"/>
    </row>
    <row r="130">
      <c r="B130" s="19"/>
    </row>
    <row r="131">
      <c r="B131" s="19"/>
    </row>
    <row r="132">
      <c r="B132" s="19"/>
    </row>
    <row r="133">
      <c r="B133" s="19"/>
    </row>
    <row r="134">
      <c r="B134" s="19"/>
    </row>
    <row r="135">
      <c r="B135" s="19"/>
    </row>
    <row r="136">
      <c r="B136" s="19"/>
    </row>
    <row r="137">
      <c r="B137" s="19"/>
    </row>
    <row r="138">
      <c r="B138" s="19"/>
    </row>
    <row r="139">
      <c r="B139" s="19"/>
    </row>
    <row r="140">
      <c r="B140" s="19"/>
    </row>
    <row r="141">
      <c r="B141" s="19"/>
    </row>
    <row r="142">
      <c r="B142" s="19"/>
    </row>
    <row r="143">
      <c r="B143" s="19"/>
    </row>
    <row r="144">
      <c r="B144" s="19"/>
    </row>
    <row r="145">
      <c r="B145" s="19"/>
    </row>
    <row r="146">
      <c r="B146" s="19"/>
    </row>
    <row r="147">
      <c r="B147" s="19"/>
    </row>
    <row r="148">
      <c r="B148" s="19"/>
    </row>
    <row r="149">
      <c r="B149" s="19"/>
    </row>
    <row r="150">
      <c r="B150" s="19"/>
    </row>
    <row r="151">
      <c r="B151" s="19"/>
    </row>
    <row r="152">
      <c r="B152" s="19"/>
    </row>
    <row r="153">
      <c r="B153" s="19"/>
    </row>
    <row r="154">
      <c r="B154" s="19"/>
    </row>
    <row r="155">
      <c r="B155" s="19"/>
    </row>
    <row r="156">
      <c r="B156" s="19"/>
    </row>
    <row r="157">
      <c r="B157" s="19"/>
    </row>
    <row r="158">
      <c r="B158" s="19"/>
    </row>
    <row r="159">
      <c r="B159" s="19"/>
    </row>
    <row r="160">
      <c r="B160" s="19"/>
    </row>
    <row r="161">
      <c r="B161" s="19"/>
    </row>
    <row r="162">
      <c r="B162" s="19"/>
    </row>
    <row r="163">
      <c r="B163" s="19"/>
    </row>
    <row r="164">
      <c r="B164" s="19"/>
    </row>
    <row r="165">
      <c r="B165" s="19"/>
    </row>
    <row r="166">
      <c r="B166" s="19"/>
    </row>
    <row r="167">
      <c r="B167" s="19"/>
    </row>
    <row r="168">
      <c r="B168" s="19"/>
    </row>
    <row r="169">
      <c r="B169" s="19"/>
    </row>
    <row r="170">
      <c r="B170" s="19"/>
    </row>
    <row r="171">
      <c r="B171" s="19"/>
    </row>
    <row r="172">
      <c r="B172" s="19"/>
    </row>
    <row r="173">
      <c r="B173" s="19"/>
    </row>
    <row r="174">
      <c r="B174" s="19"/>
    </row>
    <row r="175">
      <c r="B175" s="19"/>
    </row>
    <row r="176">
      <c r="B176" s="19"/>
    </row>
    <row r="177">
      <c r="B177" s="19"/>
    </row>
    <row r="178">
      <c r="B178" s="19"/>
    </row>
    <row r="179">
      <c r="B179" s="19"/>
    </row>
    <row r="180">
      <c r="B180" s="19"/>
    </row>
    <row r="181">
      <c r="B181" s="19"/>
    </row>
    <row r="182">
      <c r="B182" s="19"/>
    </row>
    <row r="183">
      <c r="B183" s="19"/>
    </row>
    <row r="184">
      <c r="B184" s="19"/>
    </row>
    <row r="185">
      <c r="B185" s="19"/>
    </row>
    <row r="186">
      <c r="B186" s="19"/>
    </row>
    <row r="187">
      <c r="B187" s="19"/>
    </row>
    <row r="188">
      <c r="B188" s="19"/>
    </row>
    <row r="189">
      <c r="B189" s="19"/>
    </row>
    <row r="190">
      <c r="B190" s="19"/>
    </row>
    <row r="191">
      <c r="B191" s="19"/>
    </row>
    <row r="192">
      <c r="B192" s="19"/>
    </row>
    <row r="193">
      <c r="B193" s="19"/>
    </row>
    <row r="194">
      <c r="B194" s="19"/>
    </row>
    <row r="195">
      <c r="B195" s="19"/>
    </row>
    <row r="196">
      <c r="B196" s="19"/>
    </row>
    <row r="197">
      <c r="B197" s="19"/>
    </row>
    <row r="198">
      <c r="B198" s="19"/>
    </row>
    <row r="199">
      <c r="B199" s="19"/>
    </row>
    <row r="200">
      <c r="B200" s="19"/>
    </row>
    <row r="201">
      <c r="B201" s="19"/>
    </row>
    <row r="202">
      <c r="B202" s="19"/>
    </row>
    <row r="203">
      <c r="B203" s="19"/>
    </row>
    <row r="204">
      <c r="B204" s="19"/>
    </row>
    <row r="205">
      <c r="B205" s="19"/>
    </row>
    <row r="206">
      <c r="B206" s="19"/>
    </row>
    <row r="207">
      <c r="B207" s="19"/>
    </row>
    <row r="208">
      <c r="B208" s="19"/>
    </row>
    <row r="209">
      <c r="B209" s="19"/>
    </row>
    <row r="210">
      <c r="B210" s="19"/>
    </row>
    <row r="211">
      <c r="B211" s="19"/>
    </row>
    <row r="212">
      <c r="B212" s="19"/>
    </row>
    <row r="213">
      <c r="B213" s="19"/>
    </row>
    <row r="214">
      <c r="B214" s="19"/>
    </row>
    <row r="215">
      <c r="B215" s="19"/>
    </row>
    <row r="216">
      <c r="B216" s="19"/>
    </row>
    <row r="217">
      <c r="B217" s="19"/>
    </row>
    <row r="218">
      <c r="B218" s="19"/>
    </row>
    <row r="219">
      <c r="B219" s="19"/>
    </row>
    <row r="220">
      <c r="B220" s="19"/>
    </row>
    <row r="221">
      <c r="B221" s="19"/>
    </row>
    <row r="222">
      <c r="B222" s="19"/>
    </row>
    <row r="223">
      <c r="B223" s="19"/>
    </row>
    <row r="224">
      <c r="B224" s="19"/>
    </row>
    <row r="225">
      <c r="B225" s="19"/>
    </row>
    <row r="226">
      <c r="B226" s="19"/>
    </row>
    <row r="227">
      <c r="B227" s="19"/>
    </row>
    <row r="228">
      <c r="B228" s="19"/>
    </row>
    <row r="229">
      <c r="B229" s="19"/>
    </row>
    <row r="230">
      <c r="B230" s="19"/>
    </row>
    <row r="231">
      <c r="B231" s="19"/>
    </row>
    <row r="232">
      <c r="B232" s="19"/>
    </row>
    <row r="233">
      <c r="B233" s="19"/>
    </row>
    <row r="234">
      <c r="B234" s="19"/>
    </row>
    <row r="235">
      <c r="B235" s="19"/>
    </row>
    <row r="236">
      <c r="B236" s="19"/>
    </row>
    <row r="237">
      <c r="B237" s="19"/>
    </row>
    <row r="238">
      <c r="B238" s="19"/>
    </row>
    <row r="239">
      <c r="B239" s="19"/>
    </row>
    <row r="240">
      <c r="B240" s="19"/>
    </row>
    <row r="241">
      <c r="B241" s="19"/>
    </row>
    <row r="242">
      <c r="B242" s="19"/>
    </row>
    <row r="243">
      <c r="B243" s="19"/>
    </row>
    <row r="244">
      <c r="B244" s="19"/>
    </row>
    <row r="245">
      <c r="B245" s="19"/>
    </row>
    <row r="246">
      <c r="B246" s="19"/>
    </row>
    <row r="247">
      <c r="B247" s="19"/>
    </row>
    <row r="248">
      <c r="B248" s="19"/>
    </row>
    <row r="249">
      <c r="B249" s="19"/>
    </row>
    <row r="250">
      <c r="B250" s="19"/>
    </row>
    <row r="251">
      <c r="B251" s="19"/>
    </row>
    <row r="252">
      <c r="B252" s="19"/>
    </row>
    <row r="253">
      <c r="B253" s="19"/>
    </row>
    <row r="254">
      <c r="B254" s="19"/>
    </row>
    <row r="255">
      <c r="B255" s="19"/>
    </row>
    <row r="256">
      <c r="B256" s="19"/>
    </row>
    <row r="257">
      <c r="B257" s="19"/>
    </row>
    <row r="258">
      <c r="B258" s="19"/>
    </row>
    <row r="259">
      <c r="B259" s="19"/>
    </row>
    <row r="260">
      <c r="B260" s="19"/>
    </row>
    <row r="261">
      <c r="B261" s="19"/>
    </row>
    <row r="262">
      <c r="B262" s="19"/>
    </row>
    <row r="263">
      <c r="B263" s="19"/>
    </row>
    <row r="264">
      <c r="B264" s="19"/>
    </row>
    <row r="265">
      <c r="B265" s="19"/>
    </row>
    <row r="266">
      <c r="B266" s="19"/>
    </row>
    <row r="267">
      <c r="B267" s="19"/>
    </row>
    <row r="268">
      <c r="B268" s="19"/>
    </row>
    <row r="269">
      <c r="B269" s="19"/>
    </row>
    <row r="270">
      <c r="B270" s="19"/>
    </row>
    <row r="271">
      <c r="B271" s="19"/>
    </row>
    <row r="272">
      <c r="B272" s="19"/>
    </row>
    <row r="273">
      <c r="B273" s="19"/>
    </row>
    <row r="274">
      <c r="B274" s="19"/>
    </row>
    <row r="275">
      <c r="B275" s="19"/>
    </row>
    <row r="276">
      <c r="B276" s="19"/>
    </row>
    <row r="277">
      <c r="B277" s="19"/>
    </row>
    <row r="278">
      <c r="B278" s="19"/>
    </row>
    <row r="279">
      <c r="B279" s="19"/>
    </row>
    <row r="280">
      <c r="B280" s="19"/>
    </row>
    <row r="281">
      <c r="B281" s="19"/>
    </row>
    <row r="282">
      <c r="B282" s="19"/>
    </row>
    <row r="283">
      <c r="B283" s="19"/>
    </row>
    <row r="284">
      <c r="B284" s="19"/>
    </row>
    <row r="285">
      <c r="B285" s="19"/>
    </row>
    <row r="286">
      <c r="B286" s="19"/>
    </row>
    <row r="287">
      <c r="B287" s="19"/>
    </row>
    <row r="288">
      <c r="B288" s="19"/>
    </row>
    <row r="289">
      <c r="B289" s="19"/>
    </row>
    <row r="290">
      <c r="B290" s="19"/>
    </row>
    <row r="291">
      <c r="B291" s="19"/>
    </row>
    <row r="292">
      <c r="B292" s="19"/>
    </row>
    <row r="293">
      <c r="B293" s="19"/>
    </row>
    <row r="294">
      <c r="B294" s="19"/>
    </row>
    <row r="295">
      <c r="B295" s="19"/>
    </row>
    <row r="296">
      <c r="B296" s="19"/>
    </row>
    <row r="297">
      <c r="B297" s="19"/>
    </row>
    <row r="298">
      <c r="B298" s="19"/>
    </row>
    <row r="299">
      <c r="B299" s="19"/>
    </row>
    <row r="300">
      <c r="B300" s="19"/>
    </row>
    <row r="301">
      <c r="B301" s="19"/>
    </row>
    <row r="302">
      <c r="B302" s="19"/>
    </row>
    <row r="303">
      <c r="B303" s="19"/>
    </row>
    <row r="304">
      <c r="B304" s="19"/>
    </row>
    <row r="305">
      <c r="B305" s="19"/>
    </row>
    <row r="306">
      <c r="B306" s="19"/>
    </row>
    <row r="307">
      <c r="B307" s="19"/>
    </row>
    <row r="308">
      <c r="B308" s="19"/>
    </row>
    <row r="309">
      <c r="B309" s="19"/>
    </row>
    <row r="310">
      <c r="B310" s="19"/>
    </row>
    <row r="311">
      <c r="B311" s="19"/>
    </row>
    <row r="312">
      <c r="B312" s="19"/>
    </row>
    <row r="313">
      <c r="B313" s="19"/>
    </row>
    <row r="314">
      <c r="B314" s="19"/>
    </row>
    <row r="315">
      <c r="B315" s="19"/>
    </row>
    <row r="316">
      <c r="B316" s="19"/>
    </row>
    <row r="317">
      <c r="B317" s="19"/>
    </row>
    <row r="318">
      <c r="B318" s="19"/>
    </row>
    <row r="319">
      <c r="B319" s="19"/>
    </row>
    <row r="320">
      <c r="B320" s="19"/>
    </row>
    <row r="321">
      <c r="B321" s="19"/>
    </row>
    <row r="322">
      <c r="B322" s="19"/>
    </row>
    <row r="323">
      <c r="B323" s="19"/>
    </row>
    <row r="324">
      <c r="B324" s="19"/>
    </row>
    <row r="325">
      <c r="B325" s="19"/>
    </row>
    <row r="326">
      <c r="B326" s="19"/>
    </row>
    <row r="327">
      <c r="B327" s="19"/>
    </row>
    <row r="328">
      <c r="B328" s="19"/>
    </row>
    <row r="329">
      <c r="B329" s="19"/>
    </row>
    <row r="330">
      <c r="B330" s="19"/>
    </row>
    <row r="331">
      <c r="B331" s="19"/>
    </row>
    <row r="332">
      <c r="B332" s="19"/>
    </row>
    <row r="333">
      <c r="B333" s="19"/>
    </row>
    <row r="334">
      <c r="B334" s="19"/>
    </row>
    <row r="335">
      <c r="B335" s="19"/>
    </row>
    <row r="336">
      <c r="B336" s="19"/>
    </row>
    <row r="337">
      <c r="B337" s="19"/>
    </row>
    <row r="338">
      <c r="B338" s="19"/>
    </row>
    <row r="339">
      <c r="B339" s="19"/>
    </row>
    <row r="340">
      <c r="B340" s="19"/>
    </row>
    <row r="341">
      <c r="B341" s="19"/>
    </row>
    <row r="342">
      <c r="B342" s="19"/>
    </row>
    <row r="343">
      <c r="B343" s="19"/>
    </row>
    <row r="344">
      <c r="B344" s="19"/>
    </row>
    <row r="345">
      <c r="B345" s="19"/>
    </row>
    <row r="346">
      <c r="B346" s="19"/>
    </row>
    <row r="347">
      <c r="B347" s="19"/>
    </row>
    <row r="348">
      <c r="B348" s="19"/>
    </row>
    <row r="349">
      <c r="B349" s="19"/>
    </row>
    <row r="350">
      <c r="B350" s="19"/>
    </row>
    <row r="351">
      <c r="B351" s="19"/>
    </row>
    <row r="352">
      <c r="B352" s="19"/>
    </row>
    <row r="353">
      <c r="B353" s="19"/>
    </row>
    <row r="354">
      <c r="B354" s="19"/>
    </row>
    <row r="355">
      <c r="B355" s="19"/>
    </row>
    <row r="356">
      <c r="B356" s="19"/>
    </row>
    <row r="357">
      <c r="B357" s="19"/>
    </row>
    <row r="358">
      <c r="B358" s="19"/>
    </row>
    <row r="359">
      <c r="B359" s="19"/>
    </row>
    <row r="360">
      <c r="B360" s="19"/>
    </row>
    <row r="361">
      <c r="B361" s="19"/>
    </row>
    <row r="362">
      <c r="B362" s="19"/>
    </row>
    <row r="363">
      <c r="B363" s="19"/>
    </row>
    <row r="364">
      <c r="B364" s="19"/>
    </row>
    <row r="365">
      <c r="B365" s="19"/>
    </row>
    <row r="366">
      <c r="B366" s="19"/>
    </row>
    <row r="367">
      <c r="B367" s="19"/>
    </row>
    <row r="368">
      <c r="B368" s="19"/>
    </row>
    <row r="369">
      <c r="B369" s="19"/>
    </row>
    <row r="370">
      <c r="B370" s="19"/>
    </row>
    <row r="371">
      <c r="B371" s="19"/>
    </row>
    <row r="372">
      <c r="B372" s="19"/>
    </row>
    <row r="373">
      <c r="B373" s="19"/>
    </row>
    <row r="374">
      <c r="B374" s="19"/>
    </row>
    <row r="375">
      <c r="B375" s="19"/>
    </row>
    <row r="376">
      <c r="B376" s="19"/>
    </row>
    <row r="377">
      <c r="B377" s="19"/>
    </row>
    <row r="378">
      <c r="B378" s="19"/>
    </row>
    <row r="379">
      <c r="B379" s="19"/>
    </row>
    <row r="380">
      <c r="B380" s="19"/>
    </row>
    <row r="381">
      <c r="B381" s="19"/>
    </row>
    <row r="382">
      <c r="B382" s="19"/>
    </row>
    <row r="383">
      <c r="B383" s="19"/>
    </row>
    <row r="384">
      <c r="B384" s="19"/>
    </row>
    <row r="385">
      <c r="B385" s="19"/>
    </row>
    <row r="386">
      <c r="B386" s="19"/>
    </row>
    <row r="387">
      <c r="B387" s="19"/>
    </row>
    <row r="388">
      <c r="B388" s="19"/>
    </row>
    <row r="389">
      <c r="B389" s="19"/>
    </row>
    <row r="390">
      <c r="B390" s="19"/>
    </row>
    <row r="391">
      <c r="B391" s="19"/>
    </row>
    <row r="392">
      <c r="B392" s="19"/>
    </row>
    <row r="393">
      <c r="B393" s="19"/>
    </row>
    <row r="394">
      <c r="B394" s="19"/>
    </row>
    <row r="395">
      <c r="B395" s="19"/>
    </row>
    <row r="396">
      <c r="B396" s="19"/>
    </row>
    <row r="397">
      <c r="B397" s="19"/>
    </row>
    <row r="398">
      <c r="B398" s="19"/>
    </row>
    <row r="399">
      <c r="B399" s="19"/>
    </row>
    <row r="400">
      <c r="B400" s="19"/>
    </row>
    <row r="401">
      <c r="B401" s="19"/>
    </row>
    <row r="402">
      <c r="B402" s="19"/>
    </row>
    <row r="403">
      <c r="B403" s="19"/>
    </row>
    <row r="404">
      <c r="B404" s="19"/>
    </row>
    <row r="405">
      <c r="B405" s="19"/>
    </row>
    <row r="406">
      <c r="B406" s="19"/>
    </row>
    <row r="407">
      <c r="B407" s="19"/>
    </row>
    <row r="408">
      <c r="B408" s="19"/>
    </row>
    <row r="409">
      <c r="B409" s="19"/>
    </row>
    <row r="410">
      <c r="B410" s="19"/>
    </row>
    <row r="411">
      <c r="B411" s="19"/>
    </row>
    <row r="412">
      <c r="B412" s="19"/>
    </row>
    <row r="413">
      <c r="B413" s="19"/>
    </row>
    <row r="414">
      <c r="B414" s="19"/>
    </row>
    <row r="415">
      <c r="B415" s="19"/>
    </row>
    <row r="416">
      <c r="B416" s="19"/>
    </row>
    <row r="417">
      <c r="B417" s="19"/>
    </row>
    <row r="418">
      <c r="B418" s="19"/>
    </row>
    <row r="419">
      <c r="B419" s="19"/>
    </row>
    <row r="420">
      <c r="B420" s="19"/>
    </row>
    <row r="421">
      <c r="B421" s="19"/>
    </row>
    <row r="422">
      <c r="B422" s="19"/>
    </row>
    <row r="423">
      <c r="B423" s="19"/>
    </row>
    <row r="424">
      <c r="B424" s="19"/>
    </row>
    <row r="425">
      <c r="B425" s="19"/>
    </row>
    <row r="426">
      <c r="B426" s="19"/>
    </row>
    <row r="427">
      <c r="B427" s="19"/>
    </row>
    <row r="428">
      <c r="B428" s="19"/>
    </row>
    <row r="429">
      <c r="B429" s="19"/>
    </row>
    <row r="430">
      <c r="B430" s="19"/>
    </row>
    <row r="431">
      <c r="B431" s="19"/>
    </row>
    <row r="432">
      <c r="B432" s="19"/>
    </row>
    <row r="433">
      <c r="B433" s="19"/>
    </row>
    <row r="434">
      <c r="B434" s="19"/>
    </row>
    <row r="435">
      <c r="B435" s="19"/>
    </row>
    <row r="436">
      <c r="B436" s="19"/>
    </row>
    <row r="437">
      <c r="B437" s="19"/>
    </row>
    <row r="438">
      <c r="B438" s="19"/>
    </row>
    <row r="439">
      <c r="B439" s="19"/>
    </row>
    <row r="440">
      <c r="B440" s="19"/>
    </row>
    <row r="441">
      <c r="B441" s="19"/>
    </row>
    <row r="442">
      <c r="B442" s="19"/>
    </row>
    <row r="443">
      <c r="B443" s="19"/>
    </row>
    <row r="444">
      <c r="B444" s="19"/>
    </row>
    <row r="445">
      <c r="B445" s="19"/>
    </row>
    <row r="446">
      <c r="B446" s="19"/>
    </row>
    <row r="447">
      <c r="B447" s="19"/>
    </row>
    <row r="448">
      <c r="B448" s="19"/>
    </row>
    <row r="449">
      <c r="B449" s="19"/>
    </row>
    <row r="450">
      <c r="B450" s="19"/>
    </row>
    <row r="451">
      <c r="B451" s="19"/>
    </row>
    <row r="452">
      <c r="B452" s="19"/>
    </row>
    <row r="453">
      <c r="B453" s="19"/>
    </row>
    <row r="454">
      <c r="B454" s="19"/>
    </row>
    <row r="455">
      <c r="B455" s="19"/>
    </row>
    <row r="456">
      <c r="B456" s="19"/>
    </row>
    <row r="457">
      <c r="B457" s="19"/>
    </row>
    <row r="458">
      <c r="B458" s="19"/>
    </row>
    <row r="459">
      <c r="B459" s="19"/>
    </row>
    <row r="460">
      <c r="B460" s="19"/>
    </row>
    <row r="461">
      <c r="B461" s="19"/>
    </row>
    <row r="462">
      <c r="B462" s="19"/>
    </row>
    <row r="463">
      <c r="B463" s="19"/>
    </row>
    <row r="464">
      <c r="B464" s="19"/>
    </row>
    <row r="465">
      <c r="B465" s="19"/>
    </row>
    <row r="466">
      <c r="B466" s="19"/>
    </row>
    <row r="467">
      <c r="B467" s="19"/>
    </row>
    <row r="468">
      <c r="B468" s="19"/>
    </row>
    <row r="469">
      <c r="B469" s="19"/>
    </row>
    <row r="470">
      <c r="B470" s="19"/>
    </row>
    <row r="471">
      <c r="B471" s="19"/>
    </row>
    <row r="472">
      <c r="B472" s="19"/>
    </row>
    <row r="473">
      <c r="B473" s="19"/>
    </row>
    <row r="474">
      <c r="B474" s="19"/>
    </row>
    <row r="475">
      <c r="B475" s="19"/>
    </row>
    <row r="476">
      <c r="B476" s="19"/>
    </row>
    <row r="477">
      <c r="B477" s="19"/>
    </row>
    <row r="478">
      <c r="B478" s="19"/>
    </row>
    <row r="479">
      <c r="B479" s="19"/>
    </row>
    <row r="480">
      <c r="B480" s="19"/>
    </row>
    <row r="481">
      <c r="B481" s="19"/>
    </row>
    <row r="482">
      <c r="B482" s="19"/>
    </row>
    <row r="483">
      <c r="B483" s="19"/>
    </row>
    <row r="484">
      <c r="B484" s="19"/>
    </row>
    <row r="485">
      <c r="B485" s="19"/>
    </row>
    <row r="486">
      <c r="B486" s="19"/>
    </row>
    <row r="487">
      <c r="B487" s="19"/>
    </row>
    <row r="488">
      <c r="B488" s="19"/>
    </row>
    <row r="489">
      <c r="B489" s="19"/>
    </row>
    <row r="490">
      <c r="B490" s="19"/>
    </row>
    <row r="491">
      <c r="B491" s="19"/>
    </row>
    <row r="492">
      <c r="B492" s="19"/>
    </row>
    <row r="493">
      <c r="B493" s="19"/>
    </row>
    <row r="494">
      <c r="B494" s="19"/>
    </row>
    <row r="495">
      <c r="B495" s="19"/>
    </row>
    <row r="496">
      <c r="B496" s="19"/>
    </row>
    <row r="497">
      <c r="B497" s="19"/>
    </row>
    <row r="498">
      <c r="B498" s="19"/>
    </row>
    <row r="499">
      <c r="B499" s="19"/>
    </row>
    <row r="500">
      <c r="B500" s="19"/>
    </row>
    <row r="501">
      <c r="B501" s="19"/>
    </row>
    <row r="502">
      <c r="B502" s="19"/>
    </row>
    <row r="503">
      <c r="B503" s="19"/>
    </row>
    <row r="504">
      <c r="B504" s="19"/>
    </row>
    <row r="505">
      <c r="B505" s="19"/>
    </row>
    <row r="506">
      <c r="B506" s="19"/>
    </row>
    <row r="507">
      <c r="B507" s="19"/>
    </row>
    <row r="508">
      <c r="B508" s="19"/>
    </row>
    <row r="509">
      <c r="B509" s="19"/>
    </row>
    <row r="510">
      <c r="B510" s="19"/>
    </row>
    <row r="511">
      <c r="B511" s="19"/>
    </row>
    <row r="512">
      <c r="B512" s="19"/>
    </row>
    <row r="513">
      <c r="B513" s="19"/>
    </row>
    <row r="514">
      <c r="B514" s="19"/>
    </row>
    <row r="515">
      <c r="B515" s="19"/>
    </row>
    <row r="516">
      <c r="B516" s="19"/>
    </row>
    <row r="517">
      <c r="B517" s="19"/>
    </row>
    <row r="518">
      <c r="B518" s="19"/>
    </row>
    <row r="519">
      <c r="B519" s="19"/>
    </row>
    <row r="520">
      <c r="B520" s="19"/>
    </row>
    <row r="521">
      <c r="B521" s="19"/>
    </row>
    <row r="522">
      <c r="B522" s="19"/>
    </row>
    <row r="523">
      <c r="B523" s="19"/>
    </row>
    <row r="524">
      <c r="B524" s="19"/>
    </row>
    <row r="525">
      <c r="B525" s="19"/>
    </row>
    <row r="526">
      <c r="B526" s="19"/>
    </row>
    <row r="527">
      <c r="B527" s="19"/>
    </row>
    <row r="528">
      <c r="B528" s="19"/>
    </row>
    <row r="529">
      <c r="B529" s="19"/>
    </row>
    <row r="530">
      <c r="B530" s="19"/>
    </row>
    <row r="531">
      <c r="B531" s="19"/>
    </row>
    <row r="532">
      <c r="B532" s="19"/>
    </row>
    <row r="533">
      <c r="B533" s="19"/>
    </row>
    <row r="534">
      <c r="B534" s="19"/>
    </row>
    <row r="535">
      <c r="B535" s="19"/>
    </row>
    <row r="536">
      <c r="B536" s="19"/>
    </row>
    <row r="537">
      <c r="B537" s="19"/>
    </row>
    <row r="538">
      <c r="B538" s="19"/>
    </row>
    <row r="539">
      <c r="B539" s="19"/>
    </row>
    <row r="540">
      <c r="B540" s="19"/>
    </row>
    <row r="541">
      <c r="B541" s="19"/>
    </row>
    <row r="542">
      <c r="B542" s="19"/>
    </row>
    <row r="543">
      <c r="B543" s="19"/>
    </row>
    <row r="544">
      <c r="B544" s="19"/>
    </row>
    <row r="545">
      <c r="B545" s="19"/>
    </row>
    <row r="546">
      <c r="B546" s="19"/>
    </row>
    <row r="547">
      <c r="B547" s="19"/>
    </row>
    <row r="548">
      <c r="B548" s="19"/>
    </row>
    <row r="549">
      <c r="B549" s="19"/>
    </row>
    <row r="550">
      <c r="B550" s="19"/>
    </row>
    <row r="551">
      <c r="B551" s="19"/>
    </row>
    <row r="552">
      <c r="B552" s="19"/>
    </row>
    <row r="553">
      <c r="B553" s="19"/>
    </row>
    <row r="554">
      <c r="B554" s="19"/>
    </row>
    <row r="555">
      <c r="B555" s="19"/>
    </row>
    <row r="556">
      <c r="B556" s="19"/>
    </row>
    <row r="557">
      <c r="B557" s="19"/>
    </row>
    <row r="558">
      <c r="B558" s="19"/>
    </row>
    <row r="559">
      <c r="B559" s="19"/>
    </row>
    <row r="560">
      <c r="B560" s="19"/>
    </row>
    <row r="561">
      <c r="B561" s="19"/>
    </row>
    <row r="562">
      <c r="B562" s="19"/>
    </row>
    <row r="563">
      <c r="B563" s="19"/>
    </row>
    <row r="564">
      <c r="B564" s="19"/>
    </row>
    <row r="565">
      <c r="B565" s="19"/>
    </row>
    <row r="566">
      <c r="B566" s="19"/>
    </row>
    <row r="567">
      <c r="B567" s="19"/>
    </row>
    <row r="568">
      <c r="B568" s="19"/>
    </row>
    <row r="569">
      <c r="B569" s="19"/>
    </row>
    <row r="570">
      <c r="B570" s="19"/>
    </row>
    <row r="571">
      <c r="B571" s="19"/>
    </row>
    <row r="572">
      <c r="B572" s="19"/>
    </row>
    <row r="573">
      <c r="B573" s="19"/>
    </row>
    <row r="574">
      <c r="B574" s="19"/>
    </row>
    <row r="575">
      <c r="B575" s="19"/>
    </row>
    <row r="576">
      <c r="B576" s="19"/>
    </row>
    <row r="577">
      <c r="B577" s="19"/>
    </row>
    <row r="578">
      <c r="B578" s="19"/>
    </row>
    <row r="579">
      <c r="B579" s="19"/>
    </row>
    <row r="580">
      <c r="B580" s="19"/>
    </row>
    <row r="581">
      <c r="B581" s="19"/>
    </row>
    <row r="582">
      <c r="B582" s="19"/>
    </row>
    <row r="583">
      <c r="B583" s="19"/>
    </row>
    <row r="584">
      <c r="B584" s="19"/>
    </row>
    <row r="585">
      <c r="B585" s="19"/>
    </row>
    <row r="586">
      <c r="B586" s="19"/>
    </row>
    <row r="587">
      <c r="B587" s="19"/>
    </row>
    <row r="588">
      <c r="B588" s="19"/>
    </row>
    <row r="589">
      <c r="B589" s="19"/>
    </row>
    <row r="590">
      <c r="B590" s="19"/>
    </row>
    <row r="591">
      <c r="B591" s="19"/>
    </row>
    <row r="592">
      <c r="B592" s="19"/>
    </row>
    <row r="593">
      <c r="B593" s="19"/>
    </row>
    <row r="594">
      <c r="B594" s="19"/>
    </row>
    <row r="595">
      <c r="B595" s="19"/>
    </row>
    <row r="596">
      <c r="B596" s="19"/>
    </row>
    <row r="597">
      <c r="B597" s="19"/>
    </row>
    <row r="598">
      <c r="B598" s="19"/>
    </row>
    <row r="599">
      <c r="B599" s="19"/>
    </row>
    <row r="600">
      <c r="B600" s="19"/>
    </row>
    <row r="601">
      <c r="B601" s="19"/>
    </row>
    <row r="602">
      <c r="B602" s="19"/>
    </row>
    <row r="603">
      <c r="B603" s="19"/>
    </row>
    <row r="604">
      <c r="B604" s="19"/>
    </row>
    <row r="605">
      <c r="B605" s="19"/>
    </row>
    <row r="606">
      <c r="B606" s="19"/>
    </row>
    <row r="607">
      <c r="B607" s="19"/>
    </row>
    <row r="608">
      <c r="B608" s="19"/>
    </row>
    <row r="609">
      <c r="B609" s="19"/>
    </row>
    <row r="610">
      <c r="B610" s="19"/>
    </row>
    <row r="611">
      <c r="B611" s="19"/>
    </row>
    <row r="612">
      <c r="B612" s="19"/>
    </row>
    <row r="613">
      <c r="B613" s="19"/>
    </row>
    <row r="614">
      <c r="B614" s="19"/>
    </row>
    <row r="615">
      <c r="B615" s="19"/>
    </row>
    <row r="616">
      <c r="B616" s="19"/>
    </row>
    <row r="617">
      <c r="B617" s="19"/>
    </row>
    <row r="618">
      <c r="B618" s="19"/>
    </row>
    <row r="619">
      <c r="B619" s="19"/>
    </row>
    <row r="620">
      <c r="B620" s="19"/>
    </row>
    <row r="621">
      <c r="B621" s="19"/>
    </row>
    <row r="622">
      <c r="B622" s="19"/>
    </row>
    <row r="623">
      <c r="B623" s="19"/>
    </row>
    <row r="624">
      <c r="B624" s="19"/>
    </row>
    <row r="625">
      <c r="B625" s="19"/>
    </row>
    <row r="626">
      <c r="B626" s="19"/>
    </row>
    <row r="627">
      <c r="B627" s="19"/>
    </row>
    <row r="628">
      <c r="B628" s="19"/>
    </row>
    <row r="629">
      <c r="B629" s="19"/>
    </row>
    <row r="630">
      <c r="B630" s="19"/>
    </row>
    <row r="631">
      <c r="B631" s="19"/>
    </row>
    <row r="632">
      <c r="B632" s="19"/>
    </row>
    <row r="633">
      <c r="B633" s="19"/>
    </row>
    <row r="634">
      <c r="B634" s="19"/>
    </row>
    <row r="635">
      <c r="B635" s="19"/>
    </row>
    <row r="636">
      <c r="B636" s="19"/>
    </row>
    <row r="637">
      <c r="B637" s="19"/>
    </row>
    <row r="638">
      <c r="B638" s="19"/>
    </row>
    <row r="639">
      <c r="B639" s="19"/>
    </row>
    <row r="640">
      <c r="B640" s="19"/>
    </row>
    <row r="641">
      <c r="B641" s="19"/>
    </row>
    <row r="642">
      <c r="B642" s="19"/>
    </row>
    <row r="643">
      <c r="B643" s="19"/>
    </row>
    <row r="644">
      <c r="B644" s="19"/>
    </row>
    <row r="645">
      <c r="B645" s="19"/>
    </row>
    <row r="646">
      <c r="B646" s="19"/>
    </row>
    <row r="647">
      <c r="B647" s="19"/>
    </row>
    <row r="648">
      <c r="B648" s="19"/>
    </row>
    <row r="649">
      <c r="B649" s="19"/>
    </row>
    <row r="650">
      <c r="B650" s="19"/>
    </row>
    <row r="651">
      <c r="B651" s="19"/>
    </row>
    <row r="652">
      <c r="B652" s="19"/>
    </row>
    <row r="653">
      <c r="B653" s="19"/>
    </row>
    <row r="654">
      <c r="B654" s="19"/>
    </row>
    <row r="655">
      <c r="B655" s="19"/>
    </row>
    <row r="656">
      <c r="B656" s="19"/>
    </row>
    <row r="657">
      <c r="B657" s="19"/>
    </row>
    <row r="658">
      <c r="B658" s="19"/>
    </row>
    <row r="659">
      <c r="B659" s="19"/>
    </row>
    <row r="660">
      <c r="B660" s="19"/>
    </row>
    <row r="661">
      <c r="B661" s="19"/>
    </row>
    <row r="662">
      <c r="B662" s="19"/>
    </row>
    <row r="663">
      <c r="B663" s="19"/>
    </row>
    <row r="664">
      <c r="B664" s="19"/>
    </row>
    <row r="665">
      <c r="B665" s="19"/>
    </row>
    <row r="666">
      <c r="B666" s="19"/>
    </row>
    <row r="667">
      <c r="B667" s="19"/>
    </row>
    <row r="668">
      <c r="B668" s="19"/>
    </row>
    <row r="669">
      <c r="B669" s="19"/>
    </row>
    <row r="670">
      <c r="B670" s="19"/>
    </row>
    <row r="671">
      <c r="B671" s="19"/>
    </row>
    <row r="672">
      <c r="B672" s="19"/>
    </row>
    <row r="673">
      <c r="B673" s="19"/>
    </row>
    <row r="674">
      <c r="B674" s="19"/>
    </row>
    <row r="675">
      <c r="B675" s="19"/>
    </row>
    <row r="676">
      <c r="B676" s="19"/>
    </row>
    <row r="677">
      <c r="B677" s="19"/>
    </row>
    <row r="678">
      <c r="B678" s="19"/>
    </row>
    <row r="679">
      <c r="B679" s="19"/>
    </row>
    <row r="680">
      <c r="B680" s="19"/>
    </row>
    <row r="681">
      <c r="B681" s="19"/>
    </row>
    <row r="682">
      <c r="B682" s="19"/>
    </row>
    <row r="683">
      <c r="B683" s="19"/>
    </row>
    <row r="684">
      <c r="B684" s="19"/>
    </row>
    <row r="685">
      <c r="B685" s="19"/>
    </row>
    <row r="686">
      <c r="B686" s="19"/>
    </row>
    <row r="687">
      <c r="B687" s="19"/>
    </row>
    <row r="688">
      <c r="B688" s="19"/>
    </row>
    <row r="689">
      <c r="B689" s="19"/>
    </row>
    <row r="690">
      <c r="B690" s="19"/>
    </row>
    <row r="691">
      <c r="B691" s="19"/>
    </row>
    <row r="692">
      <c r="B692" s="19"/>
    </row>
    <row r="693">
      <c r="B693" s="19"/>
    </row>
    <row r="694">
      <c r="B694" s="19"/>
    </row>
    <row r="695">
      <c r="B695" s="19"/>
    </row>
    <row r="696">
      <c r="B696" s="19"/>
    </row>
    <row r="697">
      <c r="B697" s="19"/>
    </row>
    <row r="698">
      <c r="B698" s="19"/>
    </row>
    <row r="699">
      <c r="B699" s="19"/>
    </row>
    <row r="700">
      <c r="B700" s="19"/>
    </row>
    <row r="701">
      <c r="B701" s="19"/>
    </row>
    <row r="702">
      <c r="B702" s="19"/>
    </row>
    <row r="703">
      <c r="B703" s="19"/>
    </row>
    <row r="704">
      <c r="B704" s="19"/>
    </row>
    <row r="705">
      <c r="B705" s="19"/>
    </row>
    <row r="706">
      <c r="B706" s="19"/>
    </row>
    <row r="707">
      <c r="B707" s="19"/>
    </row>
    <row r="708">
      <c r="B708" s="19"/>
    </row>
    <row r="709">
      <c r="B709" s="19"/>
    </row>
    <row r="710">
      <c r="B710" s="19"/>
    </row>
    <row r="711">
      <c r="B711" s="19"/>
    </row>
    <row r="712">
      <c r="B712" s="19"/>
    </row>
    <row r="713">
      <c r="B713" s="19"/>
    </row>
    <row r="714">
      <c r="B714" s="19"/>
    </row>
    <row r="715">
      <c r="B715" s="19"/>
    </row>
    <row r="716">
      <c r="B716" s="19"/>
    </row>
    <row r="717">
      <c r="B717" s="19"/>
    </row>
    <row r="718">
      <c r="B718" s="19"/>
    </row>
    <row r="719">
      <c r="B719" s="19"/>
    </row>
    <row r="720">
      <c r="B720" s="19"/>
    </row>
    <row r="721">
      <c r="B721" s="19"/>
    </row>
    <row r="722">
      <c r="B722" s="19"/>
    </row>
    <row r="723">
      <c r="B723" s="19"/>
    </row>
    <row r="724">
      <c r="B724" s="19"/>
    </row>
    <row r="725">
      <c r="B725" s="19"/>
    </row>
    <row r="726">
      <c r="B726" s="19"/>
    </row>
    <row r="727">
      <c r="B727" s="19"/>
    </row>
    <row r="728">
      <c r="B728" s="19"/>
    </row>
    <row r="729">
      <c r="B729" s="19"/>
    </row>
    <row r="730">
      <c r="B730" s="19"/>
    </row>
    <row r="731">
      <c r="B731" s="19"/>
    </row>
    <row r="732">
      <c r="B732" s="19"/>
    </row>
    <row r="733">
      <c r="B733" s="19"/>
    </row>
    <row r="734">
      <c r="B734" s="19"/>
    </row>
    <row r="735">
      <c r="B735" s="19"/>
    </row>
    <row r="736">
      <c r="B736" s="19"/>
    </row>
    <row r="737">
      <c r="B737" s="19"/>
    </row>
    <row r="738">
      <c r="B738" s="19"/>
    </row>
    <row r="739">
      <c r="B739" s="19"/>
    </row>
    <row r="740">
      <c r="B740" s="19"/>
    </row>
    <row r="741">
      <c r="B741" s="19"/>
    </row>
    <row r="742">
      <c r="B742" s="19"/>
    </row>
    <row r="743">
      <c r="B743" s="19"/>
    </row>
    <row r="744">
      <c r="B744" s="19"/>
    </row>
    <row r="745">
      <c r="B745" s="19"/>
    </row>
    <row r="746">
      <c r="B746" s="19"/>
    </row>
    <row r="747">
      <c r="B747" s="19"/>
    </row>
    <row r="748">
      <c r="B748" s="19"/>
    </row>
    <row r="749">
      <c r="B749" s="19"/>
    </row>
    <row r="750">
      <c r="B750" s="19"/>
    </row>
    <row r="751">
      <c r="B751" s="19"/>
    </row>
    <row r="752">
      <c r="B752" s="19"/>
    </row>
    <row r="753">
      <c r="B753" s="19"/>
    </row>
    <row r="754">
      <c r="B754" s="19"/>
    </row>
    <row r="755">
      <c r="B755" s="19"/>
    </row>
    <row r="756">
      <c r="B756" s="19"/>
    </row>
    <row r="757">
      <c r="B757" s="19"/>
    </row>
    <row r="758">
      <c r="B758" s="19"/>
    </row>
    <row r="759">
      <c r="B759" s="19"/>
    </row>
    <row r="760">
      <c r="B760" s="19"/>
    </row>
    <row r="761">
      <c r="B761" s="19"/>
    </row>
    <row r="762">
      <c r="B762" s="19"/>
    </row>
    <row r="763">
      <c r="B763" s="19"/>
    </row>
    <row r="764">
      <c r="B764" s="19"/>
    </row>
    <row r="765">
      <c r="B765" s="19"/>
    </row>
    <row r="766">
      <c r="B766" s="19"/>
    </row>
    <row r="767">
      <c r="B767" s="19"/>
    </row>
    <row r="768">
      <c r="B768" s="19"/>
    </row>
    <row r="769">
      <c r="B769" s="19"/>
    </row>
    <row r="770">
      <c r="B770" s="19"/>
    </row>
    <row r="771">
      <c r="B771" s="19"/>
    </row>
    <row r="772">
      <c r="B772" s="19"/>
    </row>
    <row r="773">
      <c r="B773" s="19"/>
    </row>
    <row r="774">
      <c r="B774" s="19"/>
    </row>
    <row r="775">
      <c r="B775" s="19"/>
    </row>
    <row r="776">
      <c r="B776" s="19"/>
    </row>
    <row r="777">
      <c r="B777" s="19"/>
    </row>
    <row r="778">
      <c r="B778" s="19"/>
    </row>
    <row r="779">
      <c r="B779" s="19"/>
    </row>
    <row r="780">
      <c r="B780" s="19"/>
    </row>
    <row r="781">
      <c r="B781" s="19"/>
    </row>
    <row r="782">
      <c r="B782" s="19"/>
    </row>
    <row r="783">
      <c r="B783" s="19"/>
    </row>
    <row r="784">
      <c r="B784" s="19"/>
    </row>
    <row r="785">
      <c r="B785" s="19"/>
    </row>
    <row r="786">
      <c r="B786" s="19"/>
    </row>
    <row r="787">
      <c r="B787" s="19"/>
    </row>
    <row r="788">
      <c r="B788" s="19"/>
    </row>
    <row r="789">
      <c r="B789" s="19"/>
    </row>
    <row r="790">
      <c r="B790" s="19"/>
    </row>
    <row r="791">
      <c r="B791" s="19"/>
    </row>
    <row r="792">
      <c r="B792" s="19"/>
    </row>
    <row r="793">
      <c r="B793" s="19"/>
    </row>
    <row r="794">
      <c r="B794" s="19"/>
    </row>
    <row r="795">
      <c r="B795" s="19"/>
    </row>
    <row r="796">
      <c r="B796" s="19"/>
    </row>
    <row r="797">
      <c r="B797" s="19"/>
    </row>
    <row r="798">
      <c r="B798" s="19"/>
    </row>
    <row r="799">
      <c r="B799" s="19"/>
    </row>
    <row r="800">
      <c r="B800" s="19"/>
    </row>
    <row r="801">
      <c r="B801" s="19"/>
    </row>
    <row r="802">
      <c r="B802" s="19"/>
    </row>
    <row r="803">
      <c r="B803" s="19"/>
    </row>
    <row r="804">
      <c r="B804" s="19"/>
    </row>
    <row r="805">
      <c r="B805" s="19"/>
    </row>
    <row r="806">
      <c r="B806" s="19"/>
    </row>
    <row r="807">
      <c r="B807" s="19"/>
    </row>
    <row r="808">
      <c r="B808" s="19"/>
    </row>
    <row r="809">
      <c r="B809" s="19"/>
    </row>
    <row r="810">
      <c r="B810" s="19"/>
    </row>
    <row r="811">
      <c r="B811" s="19"/>
    </row>
    <row r="812">
      <c r="B812" s="19"/>
    </row>
    <row r="813">
      <c r="B813" s="19"/>
    </row>
    <row r="814">
      <c r="B814" s="19"/>
    </row>
    <row r="815">
      <c r="B815" s="19"/>
    </row>
    <row r="816">
      <c r="B816" s="19"/>
    </row>
    <row r="817">
      <c r="B817" s="19"/>
    </row>
    <row r="818">
      <c r="B818" s="19"/>
    </row>
    <row r="819">
      <c r="B819" s="19"/>
    </row>
    <row r="820">
      <c r="B820" s="19"/>
    </row>
    <row r="821">
      <c r="B821" s="19"/>
    </row>
    <row r="822">
      <c r="B822" s="19"/>
    </row>
    <row r="823">
      <c r="B823" s="19"/>
    </row>
    <row r="824">
      <c r="B824" s="19"/>
    </row>
    <row r="825">
      <c r="B825" s="19"/>
    </row>
    <row r="826">
      <c r="B826" s="19"/>
    </row>
    <row r="827">
      <c r="B827" s="19"/>
    </row>
    <row r="828">
      <c r="B828" s="19"/>
    </row>
    <row r="829">
      <c r="B829" s="19"/>
    </row>
    <row r="830">
      <c r="B830" s="19"/>
    </row>
    <row r="831">
      <c r="B831" s="19"/>
    </row>
    <row r="832">
      <c r="B832" s="19"/>
    </row>
    <row r="833">
      <c r="B833" s="19"/>
    </row>
    <row r="834">
      <c r="B834" s="19"/>
    </row>
    <row r="835">
      <c r="B835" s="19"/>
    </row>
    <row r="836">
      <c r="B836" s="19"/>
    </row>
    <row r="837">
      <c r="B837" s="19"/>
    </row>
    <row r="838">
      <c r="B838" s="19"/>
    </row>
    <row r="839">
      <c r="B839" s="19"/>
    </row>
    <row r="840">
      <c r="B840" s="19"/>
    </row>
    <row r="841">
      <c r="B841" s="19"/>
    </row>
    <row r="842">
      <c r="B842" s="19"/>
    </row>
    <row r="843">
      <c r="B843" s="19"/>
    </row>
    <row r="844">
      <c r="B844" s="19"/>
    </row>
    <row r="845">
      <c r="B845" s="19"/>
    </row>
    <row r="846">
      <c r="B846" s="19"/>
    </row>
    <row r="847">
      <c r="B847" s="19"/>
    </row>
    <row r="848">
      <c r="B848" s="19"/>
    </row>
    <row r="849">
      <c r="B849" s="19"/>
    </row>
    <row r="850">
      <c r="B850" s="19"/>
    </row>
    <row r="851">
      <c r="B851" s="19"/>
    </row>
    <row r="852">
      <c r="B852" s="19"/>
    </row>
    <row r="853">
      <c r="B853" s="19"/>
    </row>
    <row r="854">
      <c r="B854" s="19"/>
    </row>
    <row r="855">
      <c r="B855" s="19"/>
    </row>
    <row r="856">
      <c r="B856" s="19"/>
    </row>
    <row r="857">
      <c r="B857" s="19"/>
    </row>
    <row r="858">
      <c r="B858" s="19"/>
    </row>
    <row r="859">
      <c r="B859" s="19"/>
    </row>
    <row r="860">
      <c r="B860" s="19"/>
    </row>
    <row r="861">
      <c r="B861" s="19"/>
    </row>
    <row r="862">
      <c r="B862" s="19"/>
    </row>
    <row r="863">
      <c r="B863" s="19"/>
    </row>
    <row r="864">
      <c r="B864" s="19"/>
    </row>
    <row r="865">
      <c r="B865" s="19"/>
    </row>
    <row r="866">
      <c r="B866" s="19"/>
    </row>
    <row r="867">
      <c r="B867" s="19"/>
    </row>
    <row r="868">
      <c r="B868" s="19"/>
    </row>
    <row r="869">
      <c r="B869" s="19"/>
    </row>
    <row r="870">
      <c r="B870" s="19"/>
    </row>
    <row r="871">
      <c r="B871" s="19"/>
    </row>
    <row r="872">
      <c r="B872" s="19"/>
    </row>
    <row r="873">
      <c r="B873" s="19"/>
    </row>
    <row r="874">
      <c r="B874" s="19"/>
    </row>
    <row r="875">
      <c r="B875" s="19"/>
    </row>
    <row r="876">
      <c r="B876" s="19"/>
    </row>
    <row r="877">
      <c r="B877" s="19"/>
    </row>
    <row r="878">
      <c r="B878" s="19"/>
    </row>
    <row r="879">
      <c r="B879" s="19"/>
    </row>
    <row r="880">
      <c r="B880" s="19"/>
    </row>
    <row r="881">
      <c r="B881" s="19"/>
    </row>
    <row r="882">
      <c r="B882" s="19"/>
    </row>
    <row r="883">
      <c r="B883" s="19"/>
    </row>
    <row r="884">
      <c r="B884" s="19"/>
    </row>
    <row r="885">
      <c r="B885" s="19"/>
    </row>
    <row r="886">
      <c r="B886" s="19"/>
    </row>
    <row r="887">
      <c r="B887" s="19"/>
    </row>
    <row r="888">
      <c r="B888" s="19"/>
    </row>
    <row r="889">
      <c r="B889" s="19"/>
    </row>
    <row r="890">
      <c r="B890" s="19"/>
    </row>
    <row r="891">
      <c r="B891" s="19"/>
    </row>
    <row r="892">
      <c r="B892" s="19"/>
    </row>
    <row r="893">
      <c r="B893" s="19"/>
    </row>
    <row r="894">
      <c r="B894" s="19"/>
    </row>
    <row r="895">
      <c r="B895" s="19"/>
    </row>
    <row r="896">
      <c r="B896" s="19"/>
    </row>
    <row r="897">
      <c r="B897" s="19"/>
    </row>
    <row r="898">
      <c r="B898" s="19"/>
    </row>
    <row r="899">
      <c r="B899" s="19"/>
    </row>
    <row r="900">
      <c r="B900" s="19"/>
    </row>
    <row r="901">
      <c r="B901" s="19"/>
    </row>
    <row r="902">
      <c r="B902" s="19"/>
    </row>
    <row r="903">
      <c r="B903" s="19"/>
    </row>
    <row r="904">
      <c r="B904" s="19"/>
    </row>
    <row r="905">
      <c r="B905" s="19"/>
    </row>
    <row r="906">
      <c r="B906" s="19"/>
    </row>
    <row r="907">
      <c r="B907" s="19"/>
    </row>
    <row r="908">
      <c r="B908" s="19"/>
    </row>
    <row r="909">
      <c r="B909" s="19"/>
    </row>
    <row r="910">
      <c r="B910" s="19"/>
    </row>
    <row r="911">
      <c r="B911" s="19"/>
    </row>
    <row r="912">
      <c r="B912" s="19"/>
    </row>
    <row r="913">
      <c r="B913" s="19"/>
    </row>
    <row r="914">
      <c r="B914" s="19"/>
    </row>
    <row r="915">
      <c r="B915" s="19"/>
    </row>
    <row r="916">
      <c r="B916" s="19"/>
    </row>
    <row r="917">
      <c r="B917" s="19"/>
    </row>
    <row r="918">
      <c r="B918" s="19"/>
    </row>
    <row r="919">
      <c r="B919" s="19"/>
    </row>
    <row r="920">
      <c r="B920" s="19"/>
    </row>
    <row r="921">
      <c r="B921" s="19"/>
    </row>
    <row r="922">
      <c r="B922" s="19"/>
    </row>
    <row r="923">
      <c r="B923" s="19"/>
    </row>
    <row r="924">
      <c r="B924" s="19"/>
    </row>
    <row r="925">
      <c r="B925" s="19"/>
    </row>
    <row r="926">
      <c r="B926" s="19"/>
    </row>
    <row r="927">
      <c r="B927" s="19"/>
    </row>
    <row r="928">
      <c r="B928" s="19"/>
    </row>
    <row r="929">
      <c r="B929" s="19"/>
    </row>
    <row r="930">
      <c r="B930" s="19"/>
    </row>
    <row r="931">
      <c r="B931" s="19"/>
    </row>
    <row r="932">
      <c r="B932" s="19"/>
    </row>
    <row r="933">
      <c r="B933" s="19"/>
    </row>
    <row r="934">
      <c r="B934" s="19"/>
    </row>
    <row r="935">
      <c r="B935" s="19"/>
    </row>
    <row r="936">
      <c r="B936" s="19"/>
    </row>
    <row r="937">
      <c r="B937" s="19"/>
    </row>
    <row r="938">
      <c r="B938" s="19"/>
    </row>
    <row r="939">
      <c r="B939" s="19"/>
    </row>
    <row r="940">
      <c r="B940" s="19"/>
    </row>
    <row r="941">
      <c r="B941" s="19"/>
    </row>
    <row r="942">
      <c r="B942" s="19"/>
    </row>
    <row r="943">
      <c r="B943" s="19"/>
    </row>
    <row r="944">
      <c r="B944" s="19"/>
    </row>
    <row r="945">
      <c r="B945" s="19"/>
    </row>
    <row r="946">
      <c r="B946" s="19"/>
    </row>
    <row r="947">
      <c r="B947" s="19"/>
    </row>
    <row r="948">
      <c r="B948" s="19"/>
    </row>
    <row r="949">
      <c r="B949" s="19"/>
    </row>
    <row r="950">
      <c r="B950" s="19"/>
    </row>
    <row r="951">
      <c r="B951" s="19"/>
    </row>
    <row r="952">
      <c r="B952" s="19"/>
    </row>
    <row r="953">
      <c r="B953" s="19"/>
    </row>
    <row r="954">
      <c r="B954" s="19"/>
    </row>
    <row r="955">
      <c r="B955" s="19"/>
    </row>
    <row r="956">
      <c r="B956" s="19"/>
    </row>
    <row r="957">
      <c r="B957" s="19"/>
    </row>
    <row r="958">
      <c r="B958" s="19"/>
    </row>
    <row r="959">
      <c r="B959" s="19"/>
    </row>
    <row r="960">
      <c r="B960" s="19"/>
    </row>
    <row r="961">
      <c r="B961" s="19"/>
    </row>
    <row r="962">
      <c r="B962" s="19"/>
    </row>
    <row r="963">
      <c r="B963" s="19"/>
    </row>
    <row r="964">
      <c r="B964" s="19"/>
    </row>
    <row r="965">
      <c r="B965" s="19"/>
    </row>
    <row r="966">
      <c r="B966" s="19"/>
    </row>
    <row r="967">
      <c r="B967" s="19"/>
    </row>
    <row r="968">
      <c r="B968" s="19"/>
    </row>
    <row r="969">
      <c r="B969" s="19"/>
    </row>
    <row r="970">
      <c r="B970" s="19"/>
    </row>
    <row r="971">
      <c r="B971" s="19"/>
    </row>
    <row r="972">
      <c r="B972" s="19"/>
    </row>
    <row r="973">
      <c r="B973" s="19"/>
    </row>
    <row r="974">
      <c r="B974" s="19"/>
    </row>
    <row r="975">
      <c r="B975" s="19"/>
    </row>
    <row r="976">
      <c r="B976" s="19"/>
    </row>
    <row r="977">
      <c r="B977" s="19"/>
    </row>
    <row r="978">
      <c r="B978" s="19"/>
    </row>
    <row r="979">
      <c r="B979" s="19"/>
    </row>
    <row r="980">
      <c r="B980" s="19"/>
    </row>
    <row r="981">
      <c r="B981" s="19"/>
    </row>
    <row r="982">
      <c r="B982" s="19"/>
    </row>
    <row r="983">
      <c r="B983" s="19"/>
    </row>
    <row r="984">
      <c r="B984" s="19"/>
    </row>
    <row r="985">
      <c r="B985" s="19"/>
    </row>
    <row r="986">
      <c r="B986" s="19"/>
    </row>
    <row r="987">
      <c r="B987" s="19"/>
    </row>
    <row r="988">
      <c r="B988" s="19"/>
    </row>
    <row r="989">
      <c r="B989" s="19"/>
    </row>
    <row r="990">
      <c r="B990" s="19"/>
    </row>
    <row r="991">
      <c r="B991" s="19"/>
    </row>
    <row r="992">
      <c r="B992" s="19"/>
    </row>
    <row r="993">
      <c r="B993" s="19"/>
    </row>
    <row r="994">
      <c r="B994" s="19"/>
    </row>
    <row r="995">
      <c r="B995" s="19"/>
    </row>
    <row r="996">
      <c r="B996" s="19"/>
    </row>
    <row r="997">
      <c r="B997" s="19"/>
    </row>
    <row r="998">
      <c r="B998" s="19"/>
    </row>
    <row r="999">
      <c r="B999" s="19"/>
    </row>
    <row r="1000">
      <c r="B1000" s="19"/>
    </row>
  </sheetData>
  <drawing r:id="rId1"/>
</worksheet>
</file>