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IFERROR(__xludf.DUMMYFUNCTION("""COMPUTED_VALUE"""),162.0)</f>
        <v>162</v>
      </c>
      <c r="C3" s="4"/>
      <c r="D3" s="5" t="str">
        <f>IFERROR(__xludf.DUMMYFUNCTION("""COMPUTED_VALUE"""),"CASH")</f>
        <v>CASH</v>
      </c>
      <c r="E3" s="7">
        <f>IFERROR(__xludf.DUMMYFUNCTION("""COMPUTED_VALUE"""),194987.72)</f>
        <v>194987.72</v>
      </c>
      <c r="F3" s="4"/>
      <c r="G3" s="5" t="str">
        <f>IFERROR(__xludf.DUMMYFUNCTION("""COMPUTED_VALUE"""),"NMAC")</f>
        <v>NMAC</v>
      </c>
      <c r="H3" s="7">
        <f>IFERROR(__xludf.DUMMYFUNCTION("""COMPUTED_VALUE"""),288019.51)</f>
        <v>288019.51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IFERROR(__xludf.DUMMYFUNCTION("""COMPUTED_VALUE"""),134.0)</f>
        <v>134</v>
      </c>
      <c r="C4" s="4"/>
      <c r="D4" s="5" t="str">
        <f>IFERROR(__xludf.DUMMYFUNCTION("""COMPUTED_VALUE"""),"NMAC")</f>
        <v>NMAC</v>
      </c>
      <c r="E4" s="7">
        <f>IFERROR(__xludf.DUMMYFUNCTION("""COMPUTED_VALUE"""),93657.22)</f>
        <v>93657.22</v>
      </c>
      <c r="F4" s="4"/>
      <c r="G4" s="5" t="str">
        <f>IFERROR(__xludf.DUMMYFUNCTION("""COMPUTED_VALUE"""),"CAPITAL ONE")</f>
        <v>CAPITAL ONE</v>
      </c>
      <c r="H4" s="7">
        <f>IFERROR(__xludf.DUMMYFUNCTION("""COMPUTED_VALUE"""),254174.96)</f>
        <v>254174.96</v>
      </c>
    </row>
    <row r="5">
      <c r="A5" s="5" t="str">
        <f>IFERROR(__xludf.DUMMYFUNCTION("""COMPUTED_VALUE"""),"CAPITAL ONE")</f>
        <v>CAPITAL ONE</v>
      </c>
      <c r="B5" s="6">
        <f>IFERROR(__xludf.DUMMYFUNCTION("""COMPUTED_VALUE"""),116.0)</f>
        <v>116</v>
      </c>
      <c r="C5" s="4"/>
      <c r="D5" s="5" t="str">
        <f>IFERROR(__xludf.DUMMYFUNCTION("""COMPUTED_VALUE"""),"CAPITAL ONE")</f>
        <v>CAPITAL ONE</v>
      </c>
      <c r="E5" s="7">
        <f>IFERROR(__xludf.DUMMYFUNCTION("""COMPUTED_VALUE"""),88676.81)</f>
        <v>88676.81</v>
      </c>
      <c r="F5" s="4"/>
      <c r="G5" s="5" t="str">
        <f>IFERROR(__xludf.DUMMYFUNCTION("""COMPUTED_VALUE"""),"KIA MOTORS FINANCE")</f>
        <v>KIA MOTORS FINANCE</v>
      </c>
      <c r="H5" s="7">
        <f>IFERROR(__xludf.DUMMYFUNCTION("""COMPUTED_VALUE"""),252082.21)</f>
        <v>252082.21</v>
      </c>
    </row>
    <row r="6">
      <c r="A6" s="5" t="str">
        <f>IFERROR(__xludf.DUMMYFUNCTION("""COMPUTED_VALUE"""),"NMAC")</f>
        <v>NMAC</v>
      </c>
      <c r="B6" s="6">
        <f>IFERROR(__xludf.DUMMYFUNCTION("""COMPUTED_VALUE"""),112.0)</f>
        <v>112</v>
      </c>
      <c r="C6" s="4"/>
      <c r="D6" s="5" t="str">
        <f>IFERROR(__xludf.DUMMYFUNCTION("""COMPUTED_VALUE"""),"PNC BANK")</f>
        <v>PNC BANK</v>
      </c>
      <c r="E6" s="7">
        <f>IFERROR(__xludf.DUMMYFUNCTION("""COMPUTED_VALUE"""),71397.42)</f>
        <v>71397.42</v>
      </c>
      <c r="F6" s="4"/>
      <c r="G6" s="5" t="str">
        <f>IFERROR(__xludf.DUMMYFUNCTION("""COMPUTED_VALUE"""),"SANTANDER CONSUMER USA")</f>
        <v>SANTANDER CONSUMER USA</v>
      </c>
      <c r="H6" s="7">
        <f>IFERROR(__xludf.DUMMYFUNCTION("""COMPUTED_VALUE"""),152516.13)</f>
        <v>152516.13</v>
      </c>
    </row>
    <row r="7">
      <c r="A7" s="5" t="str">
        <f>IFERROR(__xludf.DUMMYFUNCTION("""COMPUTED_VALUE"""),"SANTANDER CONSUMER USA")</f>
        <v>SANTANDER CONSUMER USA</v>
      </c>
      <c r="B7" s="6">
        <f>IFERROR(__xludf.DUMMYFUNCTION("""COMPUTED_VALUE"""),61.0)</f>
        <v>61</v>
      </c>
      <c r="C7" s="4"/>
      <c r="D7" s="5" t="str">
        <f>IFERROR(__xludf.DUMMYFUNCTION("""COMPUTED_VALUE"""),"TRUIST BANK")</f>
        <v>TRUIST BANK</v>
      </c>
      <c r="E7" s="7">
        <f>IFERROR(__xludf.DUMMYFUNCTION("""COMPUTED_VALUE"""),69026.18999999999)</f>
        <v>69026.19</v>
      </c>
      <c r="F7" s="4"/>
      <c r="G7" s="5" t="str">
        <f>IFERROR(__xludf.DUMMYFUNCTION("""COMPUTED_VALUE"""),"TRUIST BANK")</f>
        <v>TRUIST BANK</v>
      </c>
      <c r="H7" s="7">
        <f>IFERROR(__xludf.DUMMYFUNCTION("""COMPUTED_VALUE"""),152246.01)</f>
        <v>152246.01</v>
      </c>
    </row>
    <row r="8">
      <c r="A8" s="5" t="str">
        <f>IFERROR(__xludf.DUMMYFUNCTION("""COMPUTED_VALUE"""),"ALLY FINANCIAL")</f>
        <v>ALLY FINANCIAL</v>
      </c>
      <c r="B8" s="6">
        <f>IFERROR(__xludf.DUMMYFUNCTION("""COMPUTED_VALUE"""),49.0)</f>
        <v>49</v>
      </c>
      <c r="C8" s="4"/>
      <c r="D8" s="5" t="str">
        <f>IFERROR(__xludf.DUMMYFUNCTION("""COMPUTED_VALUE"""),"KIA MOTORS FINANCE")</f>
        <v>KIA MOTORS FINANCE</v>
      </c>
      <c r="E8" s="7">
        <f>IFERROR(__xludf.DUMMYFUNCTION("""COMPUTED_VALUE"""),61299.79000000001)</f>
        <v>61299.79</v>
      </c>
      <c r="F8" s="4"/>
      <c r="G8" s="5" t="str">
        <f>IFERROR(__xludf.DUMMYFUNCTION("""COMPUTED_VALUE"""),"#N/A")</f>
        <v>#N/A</v>
      </c>
      <c r="H8" s="7">
        <f>IFERROR(__xludf.DUMMYFUNCTION("""COMPUTED_VALUE"""),145551.99999999997)</f>
        <v>145552</v>
      </c>
    </row>
    <row r="9">
      <c r="A9" s="5" t="str">
        <f>IFERROR(__xludf.DUMMYFUNCTION("""COMPUTED_VALUE"""),"TRUIST BANK")</f>
        <v>TRUIST BANK</v>
      </c>
      <c r="B9" s="6">
        <f>IFERROR(__xludf.DUMMYFUNCTION("""COMPUTED_VALUE"""),47.0)</f>
        <v>47</v>
      </c>
      <c r="C9" s="4"/>
      <c r="D9" s="5" t="str">
        <f>IFERROR(__xludf.DUMMYFUNCTION("""COMPUTED_VALUE"""),"EASTMAN CU")</f>
        <v>EASTMAN CU</v>
      </c>
      <c r="E9" s="7">
        <f>IFERROR(__xludf.DUMMYFUNCTION("""COMPUTED_VALUE"""),57726.94)</f>
        <v>57726.94</v>
      </c>
      <c r="F9" s="4"/>
      <c r="G9" s="5" t="str">
        <f>IFERROR(__xludf.DUMMYFUNCTION("""COMPUTED_VALUE"""),"ALLY FINANCIAL")</f>
        <v>ALLY FINANCIAL</v>
      </c>
      <c r="H9" s="7">
        <f>IFERROR(__xludf.DUMMYFUNCTION("""COMPUTED_VALUE"""),144936.01)</f>
        <v>144936.01</v>
      </c>
    </row>
    <row r="10">
      <c r="A10" s="5" t="str">
        <f>IFERROR(__xludf.DUMMYFUNCTION("""COMPUTED_VALUE"""),"GLOBAL LENDING SERVICES ")</f>
        <v>GLOBAL LENDING SERVICES </v>
      </c>
      <c r="B10" s="6">
        <f>IFERROR(__xludf.DUMMYFUNCTION("""COMPUTED_VALUE"""),47.0)</f>
        <v>47</v>
      </c>
      <c r="C10" s="4"/>
      <c r="D10" s="5" t="str">
        <f>IFERROR(__xludf.DUMMYFUNCTION("""COMPUTED_VALUE"""),"GM FINANCIAL SERVICES")</f>
        <v>GM FINANCIAL SERVICES</v>
      </c>
      <c r="E10" s="7">
        <f>IFERROR(__xludf.DUMMYFUNCTION("""COMPUTED_VALUE"""),52859.0)</f>
        <v>52859</v>
      </c>
      <c r="F10" s="4"/>
      <c r="G10" s="5" t="str">
        <f>IFERROR(__xludf.DUMMYFUNCTION("""COMPUTED_VALUE"""),"TD AUTO FINANCE")</f>
        <v>TD AUTO FINANCE</v>
      </c>
      <c r="H10" s="7">
        <f>IFERROR(__xludf.DUMMYFUNCTION("""COMPUTED_VALUE"""),121901.69)</f>
        <v>121901.69</v>
      </c>
    </row>
    <row r="11">
      <c r="A11" s="5" t="str">
        <f>IFERROR(__xludf.DUMMYFUNCTION("""COMPUTED_VALUE"""),"#N/A")</f>
        <v>#N/A</v>
      </c>
      <c r="B11" s="6">
        <f>IFERROR(__xludf.DUMMYFUNCTION("""COMPUTED_VALUE"""),46.0)</f>
        <v>46</v>
      </c>
      <c r="C11" s="4"/>
      <c r="D11" s="5" t="str">
        <f>IFERROR(__xludf.DUMMYFUNCTION("""COMPUTED_VALUE"""),"AMERICAN HONDA FINANCE")</f>
        <v>AMERICAN HONDA FINANCE</v>
      </c>
      <c r="E11" s="7">
        <f>IFERROR(__xludf.DUMMYFUNCTION("""COMPUTED_VALUE"""),51498.58)</f>
        <v>51498.58</v>
      </c>
      <c r="F11" s="4"/>
      <c r="G11" s="5" t="str">
        <f>IFERROR(__xludf.DUMMYFUNCTION("""COMPUTED_VALUE"""),"WELLS FARGO AUTO")</f>
        <v>WELLS FARGO AUTO</v>
      </c>
      <c r="H11" s="7">
        <f>IFERROR(__xludf.DUMMYFUNCTION("""COMPUTED_VALUE"""),121829.64)</f>
        <v>121829.64</v>
      </c>
    </row>
    <row r="12">
      <c r="A12" s="8" t="str">
        <f>IFERROR(__xludf.DUMMYFUNCTION("""COMPUTED_VALUE"""),"WELLS FARGO AUTO")</f>
        <v>WELLS FARGO AUTO</v>
      </c>
      <c r="B12" s="9">
        <f>IFERROR(__xludf.DUMMYFUNCTION("""COMPUTED_VALUE"""),46.0)</f>
        <v>46</v>
      </c>
      <c r="C12" s="4"/>
      <c r="D12" s="8" t="str">
        <f>IFERROR(__xludf.DUMMYFUNCTION("""COMPUTED_VALUE"""),"MERITRUST FCU")</f>
        <v>MERITRUST FCU</v>
      </c>
      <c r="E12" s="10">
        <f>IFERROR(__xludf.DUMMYFUNCTION("""COMPUTED_VALUE"""),51238.74)</f>
        <v>51238.74</v>
      </c>
      <c r="F12" s="4"/>
      <c r="G12" s="8" t="str">
        <f>IFERROR(__xludf.DUMMYFUNCTION("""COMPUTED_VALUE"""),"GLOBAL LENDING SERVICES ")</f>
        <v>GLOBAL LENDING SERVICES </v>
      </c>
      <c r="H12" s="10">
        <f>IFERROR(__xludf.DUMMYFUNCTION("""COMPUTED_VALUE"""),103539.62999999999)</f>
        <v>103539.63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IFERROR(__xludf.DUMMYFUNCTION("""COMPUTED_VALUE"""),162.0)</f>
        <v>162</v>
      </c>
      <c r="C2" s="17">
        <f>IFERROR(__xludf.DUMMYFUNCTION("""COMPUTED_VALUE"""),1203.63)</f>
        <v>1203.63</v>
      </c>
      <c r="D2" s="17">
        <f>IFERROR(__xludf.DUMMYFUNCTION("""COMPUTED_VALUE"""),194987.72)</f>
        <v>194987.72</v>
      </c>
      <c r="E2" s="17">
        <f>IFERROR(__xludf.DUMMYFUNCTION("""COMPUTED_VALUE"""),447.34)</f>
        <v>447.34</v>
      </c>
      <c r="F2" s="17">
        <f>IFERROR(__xludf.DUMMYFUNCTION("""COMPUTED_VALUE"""),72469.24)</f>
        <v>72469.24</v>
      </c>
      <c r="G2" s="17">
        <f>IFERROR(__xludf.DUMMYFUNCTION("""COMPUTED_VALUE"""),1650.97)</f>
        <v>1650.97</v>
      </c>
      <c r="H2" s="17">
        <f>IFERROR(__xludf.DUMMYFUNCTION("""COMPUTED_VALUE"""),267456.96)</f>
        <v>267456.96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IFERROR(__xludf.DUMMYFUNCTION("""COMPUTED_VALUE"""),134.0)</f>
        <v>134</v>
      </c>
      <c r="C3" s="17">
        <f>IFERROR(__xludf.DUMMYFUNCTION("""COMPUTED_VALUE"""),336.018)</f>
        <v>336.018</v>
      </c>
      <c r="D3" s="17">
        <f>IFERROR(__xludf.DUMMYFUNCTION("""COMPUTED_VALUE"""),61299.79000000001)</f>
        <v>61299.79</v>
      </c>
      <c r="E3" s="17">
        <f>IFERROR(__xludf.DUMMYFUNCTION("""COMPUTED_VALUE"""),1308.092)</f>
        <v>1308.092</v>
      </c>
      <c r="F3" s="17">
        <f>IFERROR(__xludf.DUMMYFUNCTION("""COMPUTED_VALUE"""),252082.21)</f>
        <v>252082.21</v>
      </c>
      <c r="G3" s="17">
        <f>IFERROR(__xludf.DUMMYFUNCTION("""COMPUTED_VALUE"""),1644.1080000000002)</f>
        <v>1644.108</v>
      </c>
      <c r="H3" s="17">
        <f>IFERROR(__xludf.DUMMYFUNCTION("""COMPUTED_VALUE"""),313382.0)</f>
        <v>313382</v>
      </c>
    </row>
    <row r="4">
      <c r="A4" s="15" t="str">
        <f>IFERROR(__xludf.DUMMYFUNCTION("""COMPUTED_VALUE"""),"CAPITAL ONE")</f>
        <v>CAPITAL ONE</v>
      </c>
      <c r="B4" s="16">
        <f>IFERROR(__xludf.DUMMYFUNCTION("""COMPUTED_VALUE"""),116.0)</f>
        <v>116</v>
      </c>
      <c r="C4" s="17">
        <f>IFERROR(__xludf.DUMMYFUNCTION("""COMPUTED_VALUE"""),1051.0120000000002)</f>
        <v>1051.012</v>
      </c>
      <c r="D4" s="17">
        <f>IFERROR(__xludf.DUMMYFUNCTION("""COMPUTED_VALUE"""),88676.81)</f>
        <v>88676.81</v>
      </c>
      <c r="E4" s="17">
        <f>IFERROR(__xludf.DUMMYFUNCTION("""COMPUTED_VALUE"""),2004.6929999999998)</f>
        <v>2004.693</v>
      </c>
      <c r="F4" s="17">
        <f>IFERROR(__xludf.DUMMYFUNCTION("""COMPUTED_VALUE"""),254174.96)</f>
        <v>254174.96</v>
      </c>
      <c r="G4" s="17">
        <f>IFERROR(__xludf.DUMMYFUNCTION("""COMPUTED_VALUE"""),3055.705)</f>
        <v>3055.705</v>
      </c>
      <c r="H4" s="17">
        <f>IFERROR(__xludf.DUMMYFUNCTION("""COMPUTED_VALUE"""),342851.77)</f>
        <v>342851.77</v>
      </c>
    </row>
    <row r="5">
      <c r="A5" s="18" t="str">
        <f>IFERROR(__xludf.DUMMYFUNCTION("""COMPUTED_VALUE"""),"NMAC")</f>
        <v>NMAC</v>
      </c>
      <c r="B5" s="16">
        <f>IFERROR(__xludf.DUMMYFUNCTION("""COMPUTED_VALUE"""),112.0)</f>
        <v>112</v>
      </c>
      <c r="C5" s="17">
        <f>IFERROR(__xludf.DUMMYFUNCTION("""COMPUTED_VALUE"""),1208.7642857142855)</f>
        <v>1208.764286</v>
      </c>
      <c r="D5" s="17">
        <f>IFERROR(__xludf.DUMMYFUNCTION("""COMPUTED_VALUE"""),93657.22)</f>
        <v>93657.22</v>
      </c>
      <c r="E5" s="17">
        <f>IFERROR(__xludf.DUMMYFUNCTION("""COMPUTED_VALUE"""),2622.6142857142854)</f>
        <v>2622.614286</v>
      </c>
      <c r="F5" s="17">
        <f>IFERROR(__xludf.DUMMYFUNCTION("""COMPUTED_VALUE"""),288019.51)</f>
        <v>288019.51</v>
      </c>
      <c r="G5" s="17">
        <f>IFERROR(__xludf.DUMMYFUNCTION("""COMPUTED_VALUE"""),3831.377142857143)</f>
        <v>3831.377143</v>
      </c>
      <c r="H5" s="17">
        <f>IFERROR(__xludf.DUMMYFUNCTION("""COMPUTED_VALUE"""),381676.73)</f>
        <v>381676.73</v>
      </c>
    </row>
    <row r="6">
      <c r="A6" s="18" t="str">
        <f>IFERROR(__xludf.DUMMYFUNCTION("""COMPUTED_VALUE"""),"SANTANDER CONSUMER USA")</f>
        <v>SANTANDER CONSUMER USA</v>
      </c>
      <c r="B6" s="16">
        <f>IFERROR(__xludf.DUMMYFUNCTION("""COMPUTED_VALUE"""),61.0)</f>
        <v>61</v>
      </c>
      <c r="C6" s="17">
        <f>IFERROR(__xludf.DUMMYFUNCTION("""COMPUTED_VALUE"""),-216.352)</f>
        <v>-216.352</v>
      </c>
      <c r="D6" s="17">
        <f>IFERROR(__xludf.DUMMYFUNCTION("""COMPUTED_VALUE"""),-16789.760000000002)</f>
        <v>-16789.76</v>
      </c>
      <c r="E6" s="17">
        <f>IFERROR(__xludf.DUMMYFUNCTION("""COMPUTED_VALUE"""),2463.7239999999997)</f>
        <v>2463.724</v>
      </c>
      <c r="F6" s="17">
        <f>IFERROR(__xludf.DUMMYFUNCTION("""COMPUTED_VALUE"""),152516.13)</f>
        <v>152516.13</v>
      </c>
      <c r="G6" s="17">
        <f>IFERROR(__xludf.DUMMYFUNCTION("""COMPUTED_VALUE"""),2247.37)</f>
        <v>2247.37</v>
      </c>
      <c r="H6" s="17">
        <f>IFERROR(__xludf.DUMMYFUNCTION("""COMPUTED_VALUE"""),135726.37)</f>
        <v>135726.37</v>
      </c>
    </row>
    <row r="7">
      <c r="A7" s="15" t="str">
        <f>IFERROR(__xludf.DUMMYFUNCTION("""COMPUTED_VALUE"""),"ALLY FINANCIAL")</f>
        <v>ALLY FINANCIAL</v>
      </c>
      <c r="B7" s="16">
        <f>IFERROR(__xludf.DUMMYFUNCTION("""COMPUTED_VALUE"""),49.0)</f>
        <v>49</v>
      </c>
      <c r="C7" s="17">
        <f>IFERROR(__xludf.DUMMYFUNCTION("""COMPUTED_VALUE"""),990.3787500000001)</f>
        <v>990.37875</v>
      </c>
      <c r="D7" s="17">
        <f>IFERROR(__xludf.DUMMYFUNCTION("""COMPUTED_VALUE"""),47401.61999999999)</f>
        <v>47401.62</v>
      </c>
      <c r="E7" s="17">
        <f>IFERROR(__xludf.DUMMYFUNCTION("""COMPUTED_VALUE"""),2900.7225000000003)</f>
        <v>2900.7225</v>
      </c>
      <c r="F7" s="17">
        <f>IFERROR(__xludf.DUMMYFUNCTION("""COMPUTED_VALUE"""),144936.01)</f>
        <v>144936.01</v>
      </c>
      <c r="G7" s="17">
        <f>IFERROR(__xludf.DUMMYFUNCTION("""COMPUTED_VALUE"""),3891.1025)</f>
        <v>3891.1025</v>
      </c>
      <c r="H7" s="17">
        <f>IFERROR(__xludf.DUMMYFUNCTION("""COMPUTED_VALUE"""),192337.62999999998)</f>
        <v>192337.63</v>
      </c>
    </row>
    <row r="8">
      <c r="A8" s="15" t="str">
        <f>IFERROR(__xludf.DUMMYFUNCTION("""COMPUTED_VALUE"""),"TRUIST BANK")</f>
        <v>TRUIST BANK</v>
      </c>
      <c r="B8" s="16">
        <f>IFERROR(__xludf.DUMMYFUNCTION("""COMPUTED_VALUE"""),47.0)</f>
        <v>47</v>
      </c>
      <c r="C8" s="17">
        <f>IFERROR(__xludf.DUMMYFUNCTION("""COMPUTED_VALUE"""),1431.8977777777777)</f>
        <v>1431.897778</v>
      </c>
      <c r="D8" s="17">
        <f>IFERROR(__xludf.DUMMYFUNCTION("""COMPUTED_VALUE"""),69026.18999999999)</f>
        <v>69026.19</v>
      </c>
      <c r="E8" s="17">
        <f>IFERROR(__xludf.DUMMYFUNCTION("""COMPUTED_VALUE"""),2984.487777777778)</f>
        <v>2984.487778</v>
      </c>
      <c r="F8" s="17">
        <f>IFERROR(__xludf.DUMMYFUNCTION("""COMPUTED_VALUE"""),152246.01)</f>
        <v>152246.01</v>
      </c>
      <c r="G8" s="17">
        <f>IFERROR(__xludf.DUMMYFUNCTION("""COMPUTED_VALUE"""),4416.383333333333)</f>
        <v>4416.383333</v>
      </c>
      <c r="H8" s="17">
        <f>IFERROR(__xludf.DUMMYFUNCTION("""COMPUTED_VALUE"""),221272.2)</f>
        <v>221272.2</v>
      </c>
    </row>
    <row r="9">
      <c r="A9" s="15" t="str">
        <f>IFERROR(__xludf.DUMMYFUNCTION("""COMPUTED_VALUE"""),"GLOBAL LENDING SERVICES ")</f>
        <v>GLOBAL LENDING SERVICES </v>
      </c>
      <c r="B9" s="16">
        <f>IFERROR(__xludf.DUMMYFUNCTION("""COMPUTED_VALUE"""),47.0)</f>
        <v>47</v>
      </c>
      <c r="C9" s="17">
        <f>IFERROR(__xludf.DUMMYFUNCTION("""COMPUTED_VALUE"""),1171.1599999999999)</f>
        <v>1171.16</v>
      </c>
      <c r="D9" s="17">
        <f>IFERROR(__xludf.DUMMYFUNCTION("""COMPUTED_VALUE"""),24216.960000000003)</f>
        <v>24216.96</v>
      </c>
      <c r="E9" s="17">
        <f>IFERROR(__xludf.DUMMYFUNCTION("""COMPUTED_VALUE"""),2086.5171428571425)</f>
        <v>2086.517143</v>
      </c>
      <c r="F9" s="17">
        <f>IFERROR(__xludf.DUMMYFUNCTION("""COMPUTED_VALUE"""),103539.62999999999)</f>
        <v>103539.63</v>
      </c>
      <c r="G9" s="17">
        <f>IFERROR(__xludf.DUMMYFUNCTION("""COMPUTED_VALUE"""),3257.6771428571424)</f>
        <v>3257.677143</v>
      </c>
      <c r="H9" s="17">
        <f>IFERROR(__xludf.DUMMYFUNCTION("""COMPUTED_VALUE"""),127756.59)</f>
        <v>127756.59</v>
      </c>
    </row>
    <row r="10">
      <c r="A10" s="18" t="str">
        <f>IFERROR(__xludf.DUMMYFUNCTION("""COMPUTED_VALUE"""),"#N/A")</f>
        <v>#N/A</v>
      </c>
      <c r="B10" s="16">
        <f>IFERROR(__xludf.DUMMYFUNCTION("""COMPUTED_VALUE"""),46.0)</f>
        <v>46</v>
      </c>
      <c r="C10" s="17">
        <f>IFERROR(__xludf.DUMMYFUNCTION("""COMPUTED_VALUE"""),803.6617647058821)</f>
        <v>803.6617647</v>
      </c>
      <c r="D10" s="17">
        <f>IFERROR(__xludf.DUMMYFUNCTION("""COMPUTED_VALUE"""),27741.199999999997)</f>
        <v>27741.2</v>
      </c>
      <c r="E10" s="17">
        <f>IFERROR(__xludf.DUMMYFUNCTION("""COMPUTED_VALUE"""),2971.5570588235296)</f>
        <v>2971.557059</v>
      </c>
      <c r="F10" s="17">
        <f>IFERROR(__xludf.DUMMYFUNCTION("""COMPUTED_VALUE"""),145551.99999999997)</f>
        <v>145552</v>
      </c>
      <c r="G10" s="17">
        <f>IFERROR(__xludf.DUMMYFUNCTION("""COMPUTED_VALUE"""),3775.2188235294125)</f>
        <v>3775.218824</v>
      </c>
      <c r="H10" s="17">
        <f>IFERROR(__xludf.DUMMYFUNCTION("""COMPUTED_VALUE"""),173293.2)</f>
        <v>173293.2</v>
      </c>
    </row>
    <row r="11">
      <c r="A11" s="18" t="str">
        <f>IFERROR(__xludf.DUMMYFUNCTION("""COMPUTED_VALUE"""),"WELLS FARGO AUTO")</f>
        <v>WELLS FARGO AUTO</v>
      </c>
      <c r="B11" s="16">
        <f>IFERROR(__xludf.DUMMYFUNCTION("""COMPUTED_VALUE"""),46.0)</f>
        <v>46</v>
      </c>
      <c r="C11" s="17">
        <f>IFERROR(__xludf.DUMMYFUNCTION("""COMPUTED_VALUE"""),135.44857142857148)</f>
        <v>135.4485714</v>
      </c>
      <c r="D11" s="17">
        <f>IFERROR(__xludf.DUMMYFUNCTION("""COMPUTED_VALUE"""),6025.159999999998)</f>
        <v>6025.16</v>
      </c>
      <c r="E11" s="17">
        <f>IFERROR(__xludf.DUMMYFUNCTION("""COMPUTED_VALUE"""),2510.0542857142855)</f>
        <v>2510.054286</v>
      </c>
      <c r="F11" s="17">
        <f>IFERROR(__xludf.DUMMYFUNCTION("""COMPUTED_VALUE"""),121829.64)</f>
        <v>121829.64</v>
      </c>
      <c r="G11" s="17">
        <f>IFERROR(__xludf.DUMMYFUNCTION("""COMPUTED_VALUE"""),2645.5014285714283)</f>
        <v>2645.501429</v>
      </c>
      <c r="H11" s="17">
        <f>IFERROR(__xludf.DUMMYFUNCTION("""COMPUTED_VALUE"""),127854.79999999997)</f>
        <v>127854.8</v>
      </c>
    </row>
    <row r="12">
      <c r="A12" s="18" t="str">
        <f>IFERROR(__xludf.DUMMYFUNCTION("""COMPUTED_VALUE"""),"EASTMAN CU")</f>
        <v>EASTMAN CU</v>
      </c>
      <c r="B12" s="16">
        <f>IFERROR(__xludf.DUMMYFUNCTION("""COMPUTED_VALUE"""),44.0)</f>
        <v>44</v>
      </c>
      <c r="C12" s="17">
        <f>IFERROR(__xludf.DUMMYFUNCTION("""COMPUTED_VALUE"""),841.12)</f>
        <v>841.12</v>
      </c>
      <c r="D12" s="17">
        <f>IFERROR(__xludf.DUMMYFUNCTION("""COMPUTED_VALUE"""),57726.94)</f>
        <v>57726.94</v>
      </c>
      <c r="E12" s="17">
        <f>IFERROR(__xludf.DUMMYFUNCTION("""COMPUTED_VALUE"""),1508.1599999999999)</f>
        <v>1508.16</v>
      </c>
      <c r="F12" s="17">
        <f>IFERROR(__xludf.DUMMYFUNCTION("""COMPUTED_VALUE"""),78791.67)</f>
        <v>78791.67</v>
      </c>
      <c r="G12" s="17">
        <f>IFERROR(__xludf.DUMMYFUNCTION("""COMPUTED_VALUE"""),2349.28)</f>
        <v>2349.28</v>
      </c>
      <c r="H12" s="17">
        <f>IFERROR(__xludf.DUMMYFUNCTION("""COMPUTED_VALUE"""),136518.61)</f>
        <v>136518.61</v>
      </c>
    </row>
    <row r="13">
      <c r="A13" s="18" t="str">
        <f>IFERROR(__xludf.DUMMYFUNCTION("""COMPUTED_VALUE"""),"TD AUTO FINANCE")</f>
        <v>TD AUTO FINANCE</v>
      </c>
      <c r="B13" s="16">
        <f>IFERROR(__xludf.DUMMYFUNCTION("""COMPUTED_VALUE"""),41.0)</f>
        <v>41</v>
      </c>
      <c r="C13" s="17">
        <f>IFERROR(__xludf.DUMMYFUNCTION("""COMPUTED_VALUE"""),1138.0)</f>
        <v>1138</v>
      </c>
      <c r="D13" s="17">
        <f>IFERROR(__xludf.DUMMYFUNCTION("""COMPUTED_VALUE"""),15603.489999999998)</f>
        <v>15603.49</v>
      </c>
      <c r="E13" s="17">
        <f>IFERROR(__xludf.DUMMYFUNCTION("""COMPUTED_VALUE"""),4148.349999999999)</f>
        <v>4148.35</v>
      </c>
      <c r="F13" s="17">
        <f>IFERROR(__xludf.DUMMYFUNCTION("""COMPUTED_VALUE"""),121901.69)</f>
        <v>121901.69</v>
      </c>
      <c r="G13" s="17">
        <f>IFERROR(__xludf.DUMMYFUNCTION("""COMPUTED_VALUE"""),5286.349999999999)</f>
        <v>5286.35</v>
      </c>
      <c r="H13" s="17">
        <f>IFERROR(__xludf.DUMMYFUNCTION("""COMPUTED_VALUE"""),137505.18000000002)</f>
        <v>137505.18</v>
      </c>
    </row>
    <row r="14">
      <c r="A14" s="18" t="str">
        <f>IFERROR(__xludf.DUMMYFUNCTION("""COMPUTED_VALUE"""),"PNC BANK")</f>
        <v>PNC BANK</v>
      </c>
      <c r="B14" s="16">
        <f>IFERROR(__xludf.DUMMYFUNCTION("""COMPUTED_VALUE"""),40.0)</f>
        <v>40</v>
      </c>
      <c r="C14" s="17">
        <f>IFERROR(__xludf.DUMMYFUNCTION("""COMPUTED_VALUE"""),1940.7011111111108)</f>
        <v>1940.701111</v>
      </c>
      <c r="D14" s="17">
        <f>IFERROR(__xludf.DUMMYFUNCTION("""COMPUTED_VALUE"""),71397.42)</f>
        <v>71397.42</v>
      </c>
      <c r="E14" s="17">
        <f>IFERROR(__xludf.DUMMYFUNCTION("""COMPUTED_VALUE"""),1995.331111111111)</f>
        <v>1995.331111</v>
      </c>
      <c r="F14" s="17">
        <f>IFERROR(__xludf.DUMMYFUNCTION("""COMPUTED_VALUE"""),100043.01)</f>
        <v>100043.01</v>
      </c>
      <c r="G14" s="17">
        <f>IFERROR(__xludf.DUMMYFUNCTION("""COMPUTED_VALUE"""),3936.031111111112)</f>
        <v>3936.031111</v>
      </c>
      <c r="H14" s="17">
        <f>IFERROR(__xludf.DUMMYFUNCTION("""COMPUTED_VALUE"""),171440.43)</f>
        <v>171440.43</v>
      </c>
    </row>
    <row r="15">
      <c r="A15" s="18" t="str">
        <f>IFERROR(__xludf.DUMMYFUNCTION("""COMPUTED_VALUE"""),"OSF")</f>
        <v>OSF</v>
      </c>
      <c r="B15" s="16">
        <f>IFERROR(__xludf.DUMMYFUNCTION("""COMPUTED_VALUE"""),40.0)</f>
        <v>40</v>
      </c>
      <c r="C15" s="17">
        <f>IFERROR(__xludf.DUMMYFUNCTION("""COMPUTED_VALUE"""),1174.06)</f>
        <v>1174.06</v>
      </c>
      <c r="D15" s="17">
        <f>IFERROR(__xludf.DUMMYFUNCTION("""COMPUTED_VALUE"""),46962.36)</f>
        <v>46962.36</v>
      </c>
      <c r="E15" s="17">
        <f>IFERROR(__xludf.DUMMYFUNCTION("""COMPUTED_VALUE"""),151.3)</f>
        <v>151.3</v>
      </c>
      <c r="F15" s="17">
        <f>IFERROR(__xludf.DUMMYFUNCTION("""COMPUTED_VALUE"""),6052.0)</f>
        <v>6052</v>
      </c>
      <c r="G15" s="17">
        <f>IFERROR(__xludf.DUMMYFUNCTION("""COMPUTED_VALUE"""),1325.36)</f>
        <v>1325.36</v>
      </c>
      <c r="H15" s="17">
        <f>IFERROR(__xludf.DUMMYFUNCTION("""COMPUTED_VALUE"""),53014.36)</f>
        <v>53014.36</v>
      </c>
    </row>
    <row r="16">
      <c r="A16" s="15" t="str">
        <f>IFERROR(__xludf.DUMMYFUNCTION("""COMPUTED_VALUE"""),"EXETER FINANCE CORPORATION")</f>
        <v>EXETER FINANCE CORPORATION</v>
      </c>
      <c r="B16" s="16">
        <f>IFERROR(__xludf.DUMMYFUNCTION("""COMPUTED_VALUE"""),36.0)</f>
        <v>36</v>
      </c>
      <c r="C16" s="17">
        <f>IFERROR(__xludf.DUMMYFUNCTION("""COMPUTED_VALUE"""),529.1266666666667)</f>
        <v>529.1266667</v>
      </c>
      <c r="D16" s="17">
        <f>IFERROR(__xludf.DUMMYFUNCTION("""COMPUTED_VALUE"""),12527.2)</f>
        <v>12527.2</v>
      </c>
      <c r="E16" s="17">
        <f>IFERROR(__xludf.DUMMYFUNCTION("""COMPUTED_VALUE"""),1677.8933333333332)</f>
        <v>1677.893333</v>
      </c>
      <c r="F16" s="17">
        <f>IFERROR(__xludf.DUMMYFUNCTION("""COMPUTED_VALUE"""),60625.35)</f>
        <v>60625.35</v>
      </c>
      <c r="G16" s="17">
        <f>IFERROR(__xludf.DUMMYFUNCTION("""COMPUTED_VALUE"""),2207.018333333333)</f>
        <v>2207.018333</v>
      </c>
      <c r="H16" s="17">
        <f>IFERROR(__xludf.DUMMYFUNCTION("""COMPUTED_VALUE"""),73152.55)</f>
        <v>73152.55</v>
      </c>
    </row>
    <row r="17">
      <c r="A17" s="18" t="str">
        <f>IFERROR(__xludf.DUMMYFUNCTION("""COMPUTED_VALUE"""),"AMERICAN HONDA FINANCE")</f>
        <v>AMERICAN HONDA FINANCE</v>
      </c>
      <c r="B17" s="16">
        <f>IFERROR(__xludf.DUMMYFUNCTION("""COMPUTED_VALUE"""),32.0)</f>
        <v>32</v>
      </c>
      <c r="C17" s="17">
        <f>IFERROR(__xludf.DUMMYFUNCTION("""COMPUTED_VALUE"""),1609.33)</f>
        <v>1609.33</v>
      </c>
      <c r="D17" s="17">
        <f>IFERROR(__xludf.DUMMYFUNCTION("""COMPUTED_VALUE"""),51498.58)</f>
        <v>51498.58</v>
      </c>
      <c r="E17" s="17">
        <f>IFERROR(__xludf.DUMMYFUNCTION("""COMPUTED_VALUE"""),2281.28)</f>
        <v>2281.28</v>
      </c>
      <c r="F17" s="17">
        <f>IFERROR(__xludf.DUMMYFUNCTION("""COMPUTED_VALUE"""),73000.98)</f>
        <v>73000.98</v>
      </c>
      <c r="G17" s="17">
        <f>IFERROR(__xludf.DUMMYFUNCTION("""COMPUTED_VALUE"""),3890.61)</f>
        <v>3890.61</v>
      </c>
      <c r="H17" s="17">
        <f>IFERROR(__xludf.DUMMYFUNCTION("""COMPUTED_VALUE"""),124499.56)</f>
        <v>124499.56</v>
      </c>
    </row>
    <row r="18">
      <c r="A18" s="18" t="str">
        <f>IFERROR(__xludf.DUMMYFUNCTION("""COMPUTED_VALUE"""),"HYUNDAI MOTOR FINANCE")</f>
        <v>HYUNDAI MOTOR FINANCE</v>
      </c>
      <c r="B18" s="16">
        <f>IFERROR(__xludf.DUMMYFUNCTION("""COMPUTED_VALUE"""),28.0)</f>
        <v>28</v>
      </c>
      <c r="C18" s="17">
        <f>IFERROR(__xludf.DUMMYFUNCTION("""COMPUTED_VALUE"""),226.60749999999993)</f>
        <v>226.6075</v>
      </c>
      <c r="D18" s="17">
        <f>IFERROR(__xludf.DUMMYFUNCTION("""COMPUTED_VALUE"""),29991.4)</f>
        <v>29991.4</v>
      </c>
      <c r="E18" s="17">
        <f>IFERROR(__xludf.DUMMYFUNCTION("""COMPUTED_VALUE"""),1294.1349999999998)</f>
        <v>1294.135</v>
      </c>
      <c r="F18" s="17">
        <f>IFERROR(__xludf.DUMMYFUNCTION("""COMPUTED_VALUE"""),57879.14)</f>
        <v>57879.14</v>
      </c>
      <c r="G18" s="17">
        <f>IFERROR(__xludf.DUMMYFUNCTION("""COMPUTED_VALUE"""),1520.7425)</f>
        <v>1520.7425</v>
      </c>
      <c r="H18" s="17">
        <f>IFERROR(__xludf.DUMMYFUNCTION("""COMPUTED_VALUE"""),87870.54000000001)</f>
        <v>87870.54</v>
      </c>
    </row>
    <row r="19">
      <c r="A19" s="18" t="str">
        <f>IFERROR(__xludf.DUMMYFUNCTION("""COMPUTED_VALUE"""),"REGIONAL ACCEPTANCE CORPORATION")</f>
        <v>REGIONAL ACCEPTANCE CORPORATION</v>
      </c>
      <c r="B19" s="16">
        <f>IFERROR(__xludf.DUMMYFUNCTION("""COMPUTED_VALUE"""),27.0)</f>
        <v>27</v>
      </c>
      <c r="C19" s="17">
        <f>IFERROR(__xludf.DUMMYFUNCTION("""COMPUTED_VALUE"""),999.14)</f>
        <v>999.14</v>
      </c>
      <c r="D19" s="17">
        <f>IFERROR(__xludf.DUMMYFUNCTION("""COMPUTED_VALUE"""),26286.56)</f>
        <v>26286.56</v>
      </c>
      <c r="E19" s="17">
        <f>IFERROR(__xludf.DUMMYFUNCTION("""COMPUTED_VALUE"""),2435.4460000000004)</f>
        <v>2435.446</v>
      </c>
      <c r="F19" s="17">
        <f>IFERROR(__xludf.DUMMYFUNCTION("""COMPUTED_VALUE"""),66908.06999999999)</f>
        <v>66908.07</v>
      </c>
      <c r="G19" s="17">
        <f>IFERROR(__xludf.DUMMYFUNCTION("""COMPUTED_VALUE"""),3434.5840000000003)</f>
        <v>3434.584</v>
      </c>
      <c r="H19" s="17">
        <f>IFERROR(__xludf.DUMMYFUNCTION("""COMPUTED_VALUE"""),93194.63)</f>
        <v>93194.63</v>
      </c>
    </row>
    <row r="20">
      <c r="A20" s="18" t="str">
        <f>IFERROR(__xludf.DUMMYFUNCTION("""COMPUTED_VALUE"""),"MERITRUST FCU")</f>
        <v>MERITRUST FCU</v>
      </c>
      <c r="B20" s="16">
        <f>IFERROR(__xludf.DUMMYFUNCTION("""COMPUTED_VALUE"""),25.0)</f>
        <v>25</v>
      </c>
      <c r="C20" s="17">
        <f>IFERROR(__xludf.DUMMYFUNCTION("""COMPUTED_VALUE"""),1797.145)</f>
        <v>1797.145</v>
      </c>
      <c r="D20" s="17">
        <f>IFERROR(__xludf.DUMMYFUNCTION("""COMPUTED_VALUE"""),51238.74)</f>
        <v>51238.74</v>
      </c>
      <c r="E20" s="17">
        <f>IFERROR(__xludf.DUMMYFUNCTION("""COMPUTED_VALUE"""),3174.685)</f>
        <v>3174.685</v>
      </c>
      <c r="F20" s="17">
        <f>IFERROR(__xludf.DUMMYFUNCTION("""COMPUTED_VALUE"""),68015.39)</f>
        <v>68015.39</v>
      </c>
      <c r="G20" s="17">
        <f>IFERROR(__xludf.DUMMYFUNCTION("""COMPUTED_VALUE"""),4971.83)</f>
        <v>4971.83</v>
      </c>
      <c r="H20" s="17">
        <f>IFERROR(__xludf.DUMMYFUNCTION("""COMPUTED_VALUE"""),119254.12999999999)</f>
        <v>119254.13</v>
      </c>
    </row>
    <row r="21">
      <c r="A21" s="18" t="str">
        <f>IFERROR(__xludf.DUMMYFUNCTION("""COMPUTED_VALUE"""),"FIFTH THIRD BANK")</f>
        <v>FIFTH THIRD BANK</v>
      </c>
      <c r="B21" s="16">
        <f>IFERROR(__xludf.DUMMYFUNCTION("""COMPUTED_VALUE"""),22.0)</f>
        <v>22</v>
      </c>
      <c r="C21" s="17">
        <f>IFERROR(__xludf.DUMMYFUNCTION("""COMPUTED_VALUE"""),1748.56)</f>
        <v>1748.56</v>
      </c>
      <c r="D21" s="17">
        <f>IFERROR(__xludf.DUMMYFUNCTION("""COMPUTED_VALUE"""),36820.11)</f>
        <v>36820.11</v>
      </c>
      <c r="E21" s="17">
        <f>IFERROR(__xludf.DUMMYFUNCTION("""COMPUTED_VALUE"""),2753.8840000000005)</f>
        <v>2753.884</v>
      </c>
      <c r="F21" s="17">
        <f>IFERROR(__xludf.DUMMYFUNCTION("""COMPUTED_VALUE"""),57974.840000000004)</f>
        <v>57974.84</v>
      </c>
      <c r="G21" s="17">
        <f>IFERROR(__xludf.DUMMYFUNCTION("""COMPUTED_VALUE"""),4502.4400000000005)</f>
        <v>4502.44</v>
      </c>
      <c r="H21" s="17">
        <f>IFERROR(__xludf.DUMMYFUNCTION("""COMPUTED_VALUE"""),94794.95)</f>
        <v>94794.95</v>
      </c>
    </row>
    <row r="22">
      <c r="A22" s="18" t="str">
        <f>IFERROR(__xludf.DUMMYFUNCTION("""COMPUTED_VALUE"""),"GM FINANCIAL SERVICES")</f>
        <v>GM FINANCIAL SERVICES</v>
      </c>
      <c r="B22" s="16">
        <f>IFERROR(__xludf.DUMMYFUNCTION("""COMPUTED_VALUE"""),21.0)</f>
        <v>21</v>
      </c>
      <c r="C22" s="17">
        <f>IFERROR(__xludf.DUMMYFUNCTION("""COMPUTED_VALUE"""),2453.6833333333334)</f>
        <v>2453.683333</v>
      </c>
      <c r="D22" s="17">
        <f>IFERROR(__xludf.DUMMYFUNCTION("""COMPUTED_VALUE"""),52859.0)</f>
        <v>52859</v>
      </c>
      <c r="E22" s="17">
        <f>IFERROR(__xludf.DUMMYFUNCTION("""COMPUTED_VALUE"""),1815.6433333333334)</f>
        <v>1815.643333</v>
      </c>
      <c r="F22" s="17">
        <f>IFERROR(__xludf.DUMMYFUNCTION("""COMPUTED_VALUE"""),42544.6)</f>
        <v>42544.6</v>
      </c>
      <c r="G22" s="17">
        <f>IFERROR(__xludf.DUMMYFUNCTION("""COMPUTED_VALUE"""),4269.326666666667)</f>
        <v>4269.326667</v>
      </c>
      <c r="H22" s="17">
        <f>IFERROR(__xludf.DUMMYFUNCTION("""COMPUTED_VALUE"""),95403.6)</f>
        <v>95403.6</v>
      </c>
    </row>
    <row r="23">
      <c r="A23" s="18" t="str">
        <f>IFERROR(__xludf.DUMMYFUNCTION("""COMPUTED_VALUE"""),"WESTLAKE FINANCIAL SERVICES")</f>
        <v>WESTLAKE FINANCIAL SERVICES</v>
      </c>
      <c r="B23" s="16">
        <f>IFERROR(__xludf.DUMMYFUNCTION("""COMPUTED_VALUE"""),20.0)</f>
        <v>20</v>
      </c>
      <c r="C23" s="17">
        <f>IFERROR(__xludf.DUMMYFUNCTION("""COMPUTED_VALUE"""),1552.574)</f>
        <v>1552.574</v>
      </c>
      <c r="D23" s="17">
        <f>IFERROR(__xludf.DUMMYFUNCTION("""COMPUTED_VALUE"""),41265.36)</f>
        <v>41265.36</v>
      </c>
      <c r="E23" s="17">
        <f>IFERROR(__xludf.DUMMYFUNCTION("""COMPUTED_VALUE"""),1208.23)</f>
        <v>1208.23</v>
      </c>
      <c r="F23" s="17">
        <f>IFERROR(__xludf.DUMMYFUNCTION("""COMPUTED_VALUE"""),24548.430000000004)</f>
        <v>24548.43</v>
      </c>
      <c r="G23" s="17">
        <f>IFERROR(__xludf.DUMMYFUNCTION("""COMPUTED_VALUE"""),2760.804)</f>
        <v>2760.804</v>
      </c>
      <c r="H23" s="17">
        <f>IFERROR(__xludf.DUMMYFUNCTION("""COMPUTED_VALUE"""),65813.79000000001)</f>
        <v>65813.79</v>
      </c>
    </row>
    <row r="24">
      <c r="A24" s="18" t="str">
        <f>IFERROR(__xludf.DUMMYFUNCTION("""COMPUTED_VALUE"""),"JP MORGAN CHASE BANK")</f>
        <v>JP MORGAN CHASE BANK</v>
      </c>
      <c r="B24" s="16">
        <f>IFERROR(__xludf.DUMMYFUNCTION("""COMPUTED_VALUE"""),20.0)</f>
        <v>20</v>
      </c>
      <c r="C24" s="17">
        <f>IFERROR(__xludf.DUMMYFUNCTION("""COMPUTED_VALUE"""),-13.225000000000003)</f>
        <v>-13.225</v>
      </c>
      <c r="D24" s="17">
        <f>IFERROR(__xludf.DUMMYFUNCTION("""COMPUTED_VALUE"""),13512.050000000001)</f>
        <v>13512.05</v>
      </c>
      <c r="E24" s="17">
        <f>IFERROR(__xludf.DUMMYFUNCTION("""COMPUTED_VALUE"""),3138.8233333333333)</f>
        <v>3138.823333</v>
      </c>
      <c r="F24" s="17">
        <f>IFERROR(__xludf.DUMMYFUNCTION("""COMPUTED_VALUE"""),68424.97)</f>
        <v>68424.97</v>
      </c>
      <c r="G24" s="17">
        <f>IFERROR(__xludf.DUMMYFUNCTION("""COMPUTED_VALUE"""),3125.596666666667)</f>
        <v>3125.596667</v>
      </c>
      <c r="H24" s="17">
        <f>IFERROR(__xludf.DUMMYFUNCTION("""COMPUTED_VALUE"""),81937.01999999999)</f>
        <v>81937.02</v>
      </c>
    </row>
    <row r="25">
      <c r="A25" s="18" t="str">
        <f>IFERROR(__xludf.DUMMYFUNCTION("""COMPUTED_VALUE"""),"RED RIVER FCU")</f>
        <v>RED RIVER FCU</v>
      </c>
      <c r="B25" s="16">
        <f>IFERROR(__xludf.DUMMYFUNCTION("""COMPUTED_VALUE"""),16.0)</f>
        <v>16</v>
      </c>
      <c r="C25" s="17">
        <f>IFERROR(__xludf.DUMMYFUNCTION("""COMPUTED_VALUE"""),169.7975)</f>
        <v>169.7975</v>
      </c>
      <c r="D25" s="17">
        <f>IFERROR(__xludf.DUMMYFUNCTION("""COMPUTED_VALUE"""),10788.73)</f>
        <v>10788.73</v>
      </c>
      <c r="E25" s="17">
        <f>IFERROR(__xludf.DUMMYFUNCTION("""COMPUTED_VALUE"""),2452.6725)</f>
        <v>2452.6725</v>
      </c>
      <c r="F25" s="17">
        <f>IFERROR(__xludf.DUMMYFUNCTION("""COMPUTED_VALUE"""),43366.39)</f>
        <v>43366.39</v>
      </c>
      <c r="G25" s="17">
        <f>IFERROR(__xludf.DUMMYFUNCTION("""COMPUTED_VALUE"""),2622.4725)</f>
        <v>2622.4725</v>
      </c>
      <c r="H25" s="17">
        <f>IFERROR(__xludf.DUMMYFUNCTION("""COMPUTED_VALUE"""),54155.119999999995)</f>
        <v>54155.12</v>
      </c>
    </row>
    <row r="26">
      <c r="A26" s="18" t="str">
        <f>IFERROR(__xludf.DUMMYFUNCTION("""COMPUTED_VALUE"""),"TINKER FCU")</f>
        <v>TINKER FCU</v>
      </c>
      <c r="B26" s="16">
        <f>IFERROR(__xludf.DUMMYFUNCTION("""COMPUTED_VALUE"""),15.0)</f>
        <v>15</v>
      </c>
      <c r="C26" s="17">
        <f>IFERROR(__xludf.DUMMYFUNCTION("""COMPUTED_VALUE"""),423.79)</f>
        <v>423.79</v>
      </c>
      <c r="D26" s="17">
        <f>IFERROR(__xludf.DUMMYFUNCTION("""COMPUTED_VALUE"""),6356.82)</f>
        <v>6356.82</v>
      </c>
      <c r="E26" s="17">
        <f>IFERROR(__xludf.DUMMYFUNCTION("""COMPUTED_VALUE"""),2078.48)</f>
        <v>2078.48</v>
      </c>
      <c r="F26" s="17">
        <f>IFERROR(__xludf.DUMMYFUNCTION("""COMPUTED_VALUE"""),31177.25)</f>
        <v>31177.25</v>
      </c>
      <c r="G26" s="17">
        <f>IFERROR(__xludf.DUMMYFUNCTION("""COMPUTED_VALUE"""),2502.27)</f>
        <v>2502.27</v>
      </c>
      <c r="H26" s="17">
        <f>IFERROR(__xludf.DUMMYFUNCTION("""COMPUTED_VALUE"""),37534.07)</f>
        <v>37534.07</v>
      </c>
    </row>
    <row r="27">
      <c r="A27" s="18" t="str">
        <f>IFERROR(__xludf.DUMMYFUNCTION("""COMPUTED_VALUE"""),"STELLANTIS FINANCIAL SERV")</f>
        <v>STELLANTIS FINANCIAL SERV</v>
      </c>
      <c r="B27" s="16">
        <f>IFERROR(__xludf.DUMMYFUNCTION("""COMPUTED_VALUE"""),14.0)</f>
        <v>14</v>
      </c>
      <c r="C27" s="17">
        <f>IFERROR(__xludf.DUMMYFUNCTION("""COMPUTED_VALUE"""),486.828)</f>
        <v>486.828</v>
      </c>
      <c r="D27" s="17">
        <f>IFERROR(__xludf.DUMMYFUNCTION("""COMPUTED_VALUE"""),3636.0300000000007)</f>
        <v>3636.03</v>
      </c>
      <c r="E27" s="17">
        <f>IFERROR(__xludf.DUMMYFUNCTION("""COMPUTED_VALUE"""),2726.094)</f>
        <v>2726.094</v>
      </c>
      <c r="F27" s="17">
        <f>IFERROR(__xludf.DUMMYFUNCTION("""COMPUTED_VALUE"""),30363.009999999995)</f>
        <v>30363.01</v>
      </c>
      <c r="G27" s="17">
        <f>IFERROR(__xludf.DUMMYFUNCTION("""COMPUTED_VALUE"""),3212.9199999999996)</f>
        <v>3212.92</v>
      </c>
      <c r="H27" s="17">
        <f>IFERROR(__xludf.DUMMYFUNCTION("""COMPUTED_VALUE"""),33999.03999999999)</f>
        <v>33999.04</v>
      </c>
    </row>
    <row r="28">
      <c r="A28" s="18" t="str">
        <f>IFERROR(__xludf.DUMMYFUNCTION("""COMPUTED_VALUE"""),"CHRYSLER CAPITAL")</f>
        <v>CHRYSLER CAPITAL</v>
      </c>
      <c r="B28" s="16">
        <f>IFERROR(__xludf.DUMMYFUNCTION("""COMPUTED_VALUE"""),14.0)</f>
        <v>14</v>
      </c>
      <c r="C28" s="17">
        <f>IFERROR(__xludf.DUMMYFUNCTION("""COMPUTED_VALUE"""),1299.5175)</f>
        <v>1299.5175</v>
      </c>
      <c r="D28" s="17">
        <f>IFERROR(__xludf.DUMMYFUNCTION("""COMPUTED_VALUE"""),19245.97)</f>
        <v>19245.97</v>
      </c>
      <c r="E28" s="17">
        <f>IFERROR(__xludf.DUMMYFUNCTION("""COMPUTED_VALUE"""),1747.8025)</f>
        <v>1747.8025</v>
      </c>
      <c r="F28" s="17">
        <f>IFERROR(__xludf.DUMMYFUNCTION("""COMPUTED_VALUE"""),23507.22)</f>
        <v>23507.22</v>
      </c>
      <c r="G28" s="17">
        <f>IFERROR(__xludf.DUMMYFUNCTION("""COMPUTED_VALUE"""),3047.3199999999997)</f>
        <v>3047.32</v>
      </c>
      <c r="H28" s="17">
        <f>IFERROR(__xludf.DUMMYFUNCTION("""COMPUTED_VALUE"""),42753.19)</f>
        <v>42753.19</v>
      </c>
    </row>
    <row r="29">
      <c r="A29" s="18" t="str">
        <f>IFERROR(__xludf.DUMMYFUNCTION("""COMPUTED_VALUE"""),"BARKSDALE FCU")</f>
        <v>BARKSDALE FCU</v>
      </c>
      <c r="B29" s="16">
        <f>IFERROR(__xludf.DUMMYFUNCTION("""COMPUTED_VALUE"""),12.0)</f>
        <v>12</v>
      </c>
      <c r="C29" s="17">
        <f>IFERROR(__xludf.DUMMYFUNCTION("""COMPUTED_VALUE"""),1142.375)</f>
        <v>1142.375</v>
      </c>
      <c r="D29" s="17">
        <f>IFERROR(__xludf.DUMMYFUNCTION("""COMPUTED_VALUE"""),5830.4400000000005)</f>
        <v>5830.44</v>
      </c>
      <c r="E29" s="17">
        <f>IFERROR(__xludf.DUMMYFUNCTION("""COMPUTED_VALUE"""),2661.96)</f>
        <v>2661.96</v>
      </c>
      <c r="F29" s="17">
        <f>IFERROR(__xludf.DUMMYFUNCTION("""COMPUTED_VALUE"""),31190.65)</f>
        <v>31190.65</v>
      </c>
      <c r="G29" s="17">
        <f>IFERROR(__xludf.DUMMYFUNCTION("""COMPUTED_VALUE"""),3804.335)</f>
        <v>3804.335</v>
      </c>
      <c r="H29" s="17">
        <f>IFERROR(__xludf.DUMMYFUNCTION("""COMPUTED_VALUE"""),37021.09)</f>
        <v>37021.09</v>
      </c>
    </row>
    <row r="30">
      <c r="A30" s="18" t="str">
        <f>IFERROR(__xludf.DUMMYFUNCTION("""COMPUTED_VALUE"""),"COMMERCE BANK")</f>
        <v>COMMERCE BANK</v>
      </c>
      <c r="B30" s="16">
        <f>IFERROR(__xludf.DUMMYFUNCTION("""COMPUTED_VALUE"""),11.0)</f>
        <v>11</v>
      </c>
      <c r="C30" s="17">
        <f>IFERROR(__xludf.DUMMYFUNCTION("""COMPUTED_VALUE"""),2348.346666666667)</f>
        <v>2348.346667</v>
      </c>
      <c r="D30" s="17">
        <f>IFERROR(__xludf.DUMMYFUNCTION("""COMPUTED_VALUE"""),28844.800000000003)</f>
        <v>28844.8</v>
      </c>
      <c r="E30" s="17">
        <f>IFERROR(__xludf.DUMMYFUNCTION("""COMPUTED_VALUE"""),3274.023333333333)</f>
        <v>3274.023333</v>
      </c>
      <c r="F30" s="17">
        <f>IFERROR(__xludf.DUMMYFUNCTION("""COMPUTED_VALUE"""),40620.18)</f>
        <v>40620.18</v>
      </c>
      <c r="G30" s="17">
        <f>IFERROR(__xludf.DUMMYFUNCTION("""COMPUTED_VALUE"""),5622.37)</f>
        <v>5622.37</v>
      </c>
      <c r="H30" s="17">
        <f>IFERROR(__xludf.DUMMYFUNCTION("""COMPUTED_VALUE"""),69464.98)</f>
        <v>69464.98</v>
      </c>
    </row>
    <row r="31">
      <c r="A31" s="18" t="str">
        <f>IFERROR(__xludf.DUMMYFUNCTION("""COMPUTED_VALUE"""),"CONSUMER PORTFOLIO SERVICES")</f>
        <v>CONSUMER PORTFOLIO SERVICES</v>
      </c>
      <c r="B31" s="16">
        <f>IFERROR(__xludf.DUMMYFUNCTION("""COMPUTED_VALUE"""),10.0)</f>
        <v>10</v>
      </c>
      <c r="C31" s="17">
        <f>IFERROR(__xludf.DUMMYFUNCTION("""COMPUTED_VALUE"""),1140.28)</f>
        <v>1140.28</v>
      </c>
      <c r="D31" s="17">
        <f>IFERROR(__xludf.DUMMYFUNCTION("""COMPUTED_VALUE"""),9369.58)</f>
        <v>9369.58</v>
      </c>
      <c r="E31" s="17">
        <f>IFERROR(__xludf.DUMMYFUNCTION("""COMPUTED_VALUE"""),1768.2540000000001)</f>
        <v>1768.254</v>
      </c>
      <c r="F31" s="17">
        <f>IFERROR(__xludf.DUMMYFUNCTION("""COMPUTED_VALUE"""),18137.120000000003)</f>
        <v>18137.12</v>
      </c>
      <c r="G31" s="17">
        <f>IFERROR(__xludf.DUMMYFUNCTION("""COMPUTED_VALUE"""),2908.532)</f>
        <v>2908.532</v>
      </c>
      <c r="H31" s="17">
        <f>IFERROR(__xludf.DUMMYFUNCTION("""COMPUTED_VALUE"""),27506.7)</f>
        <v>27506.7</v>
      </c>
    </row>
    <row r="32">
      <c r="A32" s="18" t="str">
        <f>IFERROR(__xludf.DUMMYFUNCTION("""COMPUTED_VALUE"""),"ARVEST BANK")</f>
        <v>ARVEST BANK</v>
      </c>
      <c r="B32" s="16">
        <f>IFERROR(__xludf.DUMMYFUNCTION("""COMPUTED_VALUE"""),9.0)</f>
        <v>9</v>
      </c>
      <c r="C32" s="17">
        <f>IFERROR(__xludf.DUMMYFUNCTION("""COMPUTED_VALUE"""),-1116.3049999999998)</f>
        <v>-1116.305</v>
      </c>
      <c r="D32" s="17">
        <f>IFERROR(__xludf.DUMMYFUNCTION("""COMPUTED_VALUE"""),-945.5599999999997)</f>
        <v>-945.56</v>
      </c>
      <c r="E32" s="17">
        <f>IFERROR(__xludf.DUMMYFUNCTION("""COMPUTED_VALUE"""),4093.25)</f>
        <v>4093.25</v>
      </c>
      <c r="F32" s="17">
        <f>IFERROR(__xludf.DUMMYFUNCTION("""COMPUTED_VALUE"""),24855.02)</f>
        <v>24855.02</v>
      </c>
      <c r="G32" s="17">
        <f>IFERROR(__xludf.DUMMYFUNCTION("""COMPUTED_VALUE"""),2976.9449999999997)</f>
        <v>2976.945</v>
      </c>
      <c r="H32" s="17">
        <f>IFERROR(__xludf.DUMMYFUNCTION("""COMPUTED_VALUE"""),23909.460000000003)</f>
        <v>23909.46</v>
      </c>
    </row>
    <row r="33">
      <c r="A33" s="18" t="str">
        <f>IFERROR(__xludf.DUMMYFUNCTION("""COMPUTED_VALUE"""),"AMERICREDIT FINANCIAL SERVICES")</f>
        <v>AMERICREDIT FINANCIAL SERVICES</v>
      </c>
      <c r="B33" s="16">
        <f>IFERROR(__xludf.DUMMYFUNCTION("""COMPUTED_VALUE"""),9.0)</f>
        <v>9</v>
      </c>
      <c r="C33" s="17">
        <f>IFERROR(__xludf.DUMMYFUNCTION("""COMPUTED_VALUE"""),1126.32)</f>
        <v>1126.32</v>
      </c>
      <c r="D33" s="17">
        <f>IFERROR(__xludf.DUMMYFUNCTION("""COMPUTED_VALUE"""),11553.96)</f>
        <v>11553.96</v>
      </c>
      <c r="E33" s="17">
        <f>IFERROR(__xludf.DUMMYFUNCTION("""COMPUTED_VALUE"""),2219.916666666667)</f>
        <v>2219.916667</v>
      </c>
      <c r="F33" s="17">
        <f>IFERROR(__xludf.DUMMYFUNCTION("""COMPUTED_VALUE"""),21876.969999999998)</f>
        <v>21876.97</v>
      </c>
      <c r="G33" s="17">
        <f>IFERROR(__xludf.DUMMYFUNCTION("""COMPUTED_VALUE"""),3346.235)</f>
        <v>3346.235</v>
      </c>
      <c r="H33" s="17">
        <f>IFERROR(__xludf.DUMMYFUNCTION("""COMPUTED_VALUE"""),33430.93)</f>
        <v>33430.93</v>
      </c>
    </row>
    <row r="34">
      <c r="A34" s="18" t="str">
        <f>IFERROR(__xludf.DUMMYFUNCTION("""COMPUTED_VALUE"""),"AMERICAN CREDIT ACCEPTANCE")</f>
        <v>AMERICAN CREDIT ACCEPTANCE</v>
      </c>
      <c r="B34" s="16">
        <f>IFERROR(__xludf.DUMMYFUNCTION("""COMPUTED_VALUE"""),9.0)</f>
        <v>9</v>
      </c>
      <c r="C34" s="17">
        <f>IFERROR(__xludf.DUMMYFUNCTION("""COMPUTED_VALUE"""),-1673.015)</f>
        <v>-1673.015</v>
      </c>
      <c r="D34" s="17">
        <f>IFERROR(__xludf.DUMMYFUNCTION("""COMPUTED_VALUE"""),-17158.77)</f>
        <v>-17158.77</v>
      </c>
      <c r="E34" s="17">
        <f>IFERROR(__xludf.DUMMYFUNCTION("""COMPUTED_VALUE"""),2313.44)</f>
        <v>2313.44</v>
      </c>
      <c r="F34" s="17">
        <f>IFERROR(__xludf.DUMMYFUNCTION("""COMPUTED_VALUE"""),20941.15)</f>
        <v>20941.15</v>
      </c>
      <c r="G34" s="17">
        <f>IFERROR(__xludf.DUMMYFUNCTION("""COMPUTED_VALUE"""),640.4250000000001)</f>
        <v>640.425</v>
      </c>
      <c r="H34" s="17">
        <f>IFERROR(__xludf.DUMMYFUNCTION("""COMPUTED_VALUE"""),3782.38)</f>
        <v>3782.38</v>
      </c>
    </row>
    <row r="35">
      <c r="A35" s="18" t="str">
        <f>IFERROR(__xludf.DUMMYFUNCTION("""COMPUTED_VALUE"""),"UNITED FCU")</f>
        <v>UNITED FCU</v>
      </c>
      <c r="B35" s="16">
        <f>IFERROR(__xludf.DUMMYFUNCTION("""COMPUTED_VALUE"""),7.0)</f>
        <v>7</v>
      </c>
      <c r="C35" s="17">
        <f>IFERROR(__xludf.DUMMYFUNCTION("""COMPUTED_VALUE"""),949.54)</f>
        <v>949.54</v>
      </c>
      <c r="D35" s="17">
        <f>IFERROR(__xludf.DUMMYFUNCTION("""COMPUTED_VALUE"""),6646.79)</f>
        <v>6646.79</v>
      </c>
      <c r="E35" s="17">
        <f>IFERROR(__xludf.DUMMYFUNCTION("""COMPUTED_VALUE"""),1335.28)</f>
        <v>1335.28</v>
      </c>
      <c r="F35" s="17">
        <f>IFERROR(__xludf.DUMMYFUNCTION("""COMPUTED_VALUE"""),9346.98)</f>
        <v>9346.98</v>
      </c>
      <c r="G35" s="17">
        <f>IFERROR(__xludf.DUMMYFUNCTION("""COMPUTED_VALUE"""),2284.82)</f>
        <v>2284.82</v>
      </c>
      <c r="H35" s="17">
        <f>IFERROR(__xludf.DUMMYFUNCTION("""COMPUTED_VALUE"""),15993.77)</f>
        <v>15993.77</v>
      </c>
    </row>
    <row r="36">
      <c r="A36" s="15" t="str">
        <f>IFERROR(__xludf.DUMMYFUNCTION("""COMPUTED_VALUE"""),"FOURSIGHT CAPITAL ")</f>
        <v>FOURSIGHT CAPITAL </v>
      </c>
      <c r="B36" s="16">
        <f>IFERROR(__xludf.DUMMYFUNCTION("""COMPUTED_VALUE"""),6.0)</f>
        <v>6</v>
      </c>
      <c r="C36" s="17">
        <f>IFERROR(__xludf.DUMMYFUNCTION("""COMPUTED_VALUE"""),4300.360000000001)</f>
        <v>4300.36</v>
      </c>
      <c r="D36" s="17">
        <f>IFERROR(__xludf.DUMMYFUNCTION("""COMPUTED_VALUE"""),25802.15)</f>
        <v>25802.15</v>
      </c>
      <c r="E36" s="17">
        <f>IFERROR(__xludf.DUMMYFUNCTION("""COMPUTED_VALUE"""),4330.2)</f>
        <v>4330.2</v>
      </c>
      <c r="F36" s="17">
        <f>IFERROR(__xludf.DUMMYFUNCTION("""COMPUTED_VALUE"""),25981.18)</f>
        <v>25981.18</v>
      </c>
      <c r="G36" s="17">
        <f>IFERROR(__xludf.DUMMYFUNCTION("""COMPUTED_VALUE"""),8630.556666666667)</f>
        <v>8630.556667</v>
      </c>
      <c r="H36" s="17">
        <f>IFERROR(__xludf.DUMMYFUNCTION("""COMPUTED_VALUE"""),51783.33)</f>
        <v>51783.33</v>
      </c>
    </row>
    <row r="37">
      <c r="A37" s="18" t="str">
        <f>IFERROR(__xludf.DUMMYFUNCTION("""COMPUTED_VALUE"""),"COMMUNICATION FCU")</f>
        <v>COMMUNICATION FCU</v>
      </c>
      <c r="B37" s="16">
        <f>IFERROR(__xludf.DUMMYFUNCTION("""COMPUTED_VALUE"""),6.0)</f>
        <v>6</v>
      </c>
      <c r="C37" s="17">
        <f>IFERROR(__xludf.DUMMYFUNCTION("""COMPUTED_VALUE"""),661.37)</f>
        <v>661.37</v>
      </c>
      <c r="D37" s="17">
        <f>IFERROR(__xludf.DUMMYFUNCTION("""COMPUTED_VALUE"""),3968.19)</f>
        <v>3968.19</v>
      </c>
      <c r="E37" s="17">
        <f>IFERROR(__xludf.DUMMYFUNCTION("""COMPUTED_VALUE"""),2913.23)</f>
        <v>2913.23</v>
      </c>
      <c r="F37" s="17">
        <f>IFERROR(__xludf.DUMMYFUNCTION("""COMPUTED_VALUE"""),17479.35)</f>
        <v>17479.35</v>
      </c>
      <c r="G37" s="17">
        <f>IFERROR(__xludf.DUMMYFUNCTION("""COMPUTED_VALUE"""),3574.59)</f>
        <v>3574.59</v>
      </c>
      <c r="H37" s="17">
        <f>IFERROR(__xludf.DUMMYFUNCTION("""COMPUTED_VALUE"""),21447.54)</f>
        <v>21447.54</v>
      </c>
    </row>
    <row r="38">
      <c r="A38" s="18" t="str">
        <f>IFERROR(__xludf.DUMMYFUNCTION("""COMPUTED_VALUE"""),"VW CREDIT")</f>
        <v>VW CREDIT</v>
      </c>
      <c r="B38" s="16">
        <f>IFERROR(__xludf.DUMMYFUNCTION("""COMPUTED_VALUE"""),4.0)</f>
        <v>4</v>
      </c>
      <c r="C38" s="17">
        <f>IFERROR(__xludf.DUMMYFUNCTION("""COMPUTED_VALUE"""),-455.7333333333335)</f>
        <v>-455.7333333</v>
      </c>
      <c r="D38" s="17">
        <f>IFERROR(__xludf.DUMMYFUNCTION("""COMPUTED_VALUE"""),-875.4400000000003)</f>
        <v>-875.44</v>
      </c>
      <c r="E38" s="17">
        <f>IFERROR(__xludf.DUMMYFUNCTION("""COMPUTED_VALUE"""),1837.2333333333336)</f>
        <v>1837.233333</v>
      </c>
      <c r="F38" s="17">
        <f>IFERROR(__xludf.DUMMYFUNCTION("""COMPUTED_VALUE"""),7840.59)</f>
        <v>7840.59</v>
      </c>
      <c r="G38" s="17">
        <f>IFERROR(__xludf.DUMMYFUNCTION("""COMPUTED_VALUE"""),1381.5)</f>
        <v>1381.5</v>
      </c>
      <c r="H38" s="17">
        <f>IFERROR(__xludf.DUMMYFUNCTION("""COMPUTED_VALUE"""),6965.15)</f>
        <v>6965.15</v>
      </c>
    </row>
    <row r="39">
      <c r="A39" s="18" t="str">
        <f>IFERROR(__xludf.DUMMYFUNCTION("""COMPUTED_VALUE"""),"MID AMERICAN CU")</f>
        <v>MID AMERICAN CU</v>
      </c>
      <c r="B39" s="16">
        <f>IFERROR(__xludf.DUMMYFUNCTION("""COMPUTED_VALUE"""),4.0)</f>
        <v>4</v>
      </c>
      <c r="C39" s="17">
        <f>IFERROR(__xludf.DUMMYFUNCTION("""COMPUTED_VALUE"""),285.22)</f>
        <v>285.22</v>
      </c>
      <c r="D39" s="17">
        <f>IFERROR(__xludf.DUMMYFUNCTION("""COMPUTED_VALUE"""),1140.87)</f>
        <v>1140.87</v>
      </c>
      <c r="E39" s="17">
        <f>IFERROR(__xludf.DUMMYFUNCTION("""COMPUTED_VALUE"""),2554.47)</f>
        <v>2554.47</v>
      </c>
      <c r="F39" s="17">
        <f>IFERROR(__xludf.DUMMYFUNCTION("""COMPUTED_VALUE"""),10217.86)</f>
        <v>10217.86</v>
      </c>
      <c r="G39" s="17">
        <f>IFERROR(__xludf.DUMMYFUNCTION("""COMPUTED_VALUE"""),2839.68)</f>
        <v>2839.68</v>
      </c>
      <c r="H39" s="17">
        <f>IFERROR(__xludf.DUMMYFUNCTION("""COMPUTED_VALUE"""),11358.73)</f>
        <v>11358.73</v>
      </c>
    </row>
    <row r="40">
      <c r="A40" s="18" t="str">
        <f>IFERROR(__xludf.DUMMYFUNCTION("""COMPUTED_VALUE"""),"EAST TEXAS PROFESSIONAL CU")</f>
        <v>EAST TEXAS PROFESSIONAL CU</v>
      </c>
      <c r="B40" s="16">
        <f>IFERROR(__xludf.DUMMYFUNCTION("""COMPUTED_VALUE"""),4.0)</f>
        <v>4</v>
      </c>
      <c r="C40" s="17">
        <f>IFERROR(__xludf.DUMMYFUNCTION("""COMPUTED_VALUE"""),1731.61)</f>
        <v>1731.61</v>
      </c>
      <c r="D40" s="17">
        <f>IFERROR(__xludf.DUMMYFUNCTION("""COMPUTED_VALUE"""),6926.44)</f>
        <v>6926.44</v>
      </c>
      <c r="E40" s="17">
        <f>IFERROR(__xludf.DUMMYFUNCTION("""COMPUTED_VALUE"""),1206.85)</f>
        <v>1206.85</v>
      </c>
      <c r="F40" s="17">
        <f>IFERROR(__xludf.DUMMYFUNCTION("""COMPUTED_VALUE"""),4827.38)</f>
        <v>4827.38</v>
      </c>
      <c r="G40" s="17">
        <f>IFERROR(__xludf.DUMMYFUNCTION("""COMPUTED_VALUE"""),2938.46)</f>
        <v>2938.46</v>
      </c>
      <c r="H40" s="17">
        <f>IFERROR(__xludf.DUMMYFUNCTION("""COMPUTED_VALUE"""),11753.82)</f>
        <v>11753.82</v>
      </c>
    </row>
    <row r="41">
      <c r="A41" s="18" t="str">
        <f>IFERROR(__xludf.DUMMYFUNCTION("""COMPUTED_VALUE"""),"CUA")</f>
        <v>CUA</v>
      </c>
      <c r="B41" s="16">
        <f>IFERROR(__xludf.DUMMYFUNCTION("""COMPUTED_VALUE"""),4.0)</f>
        <v>4</v>
      </c>
      <c r="C41" s="17">
        <f>IFERROR(__xludf.DUMMYFUNCTION("""COMPUTED_VALUE"""),586.3)</f>
        <v>586.3</v>
      </c>
      <c r="D41" s="17">
        <f>IFERROR(__xludf.DUMMYFUNCTION("""COMPUTED_VALUE"""),2345.2)</f>
        <v>2345.2</v>
      </c>
      <c r="E41" s="17">
        <f>IFERROR(__xludf.DUMMYFUNCTION("""COMPUTED_VALUE"""),2728.57)</f>
        <v>2728.57</v>
      </c>
      <c r="F41" s="17">
        <f>IFERROR(__xludf.DUMMYFUNCTION("""COMPUTED_VALUE"""),10914.26)</f>
        <v>10914.26</v>
      </c>
      <c r="G41" s="17">
        <f>IFERROR(__xludf.DUMMYFUNCTION("""COMPUTED_VALUE"""),3314.87)</f>
        <v>3314.87</v>
      </c>
      <c r="H41" s="17">
        <f>IFERROR(__xludf.DUMMYFUNCTION("""COMPUTED_VALUE"""),13259.46)</f>
        <v>13259.46</v>
      </c>
    </row>
    <row r="42">
      <c r="A42" s="18" t="str">
        <f>IFERROR(__xludf.DUMMYFUNCTION("""COMPUTED_VALUE"""),"BANK OF AMERICA")</f>
        <v>BANK OF AMERICA</v>
      </c>
      <c r="B42" s="16">
        <f>IFERROR(__xludf.DUMMYFUNCTION("""COMPUTED_VALUE"""),4.0)</f>
        <v>4</v>
      </c>
      <c r="C42" s="17">
        <f>IFERROR(__xludf.DUMMYFUNCTION("""COMPUTED_VALUE"""),2410.8)</f>
        <v>2410.8</v>
      </c>
      <c r="D42" s="17">
        <f>IFERROR(__xludf.DUMMYFUNCTION("""COMPUTED_VALUE"""),11829.689999999999)</f>
        <v>11829.69</v>
      </c>
      <c r="E42" s="17">
        <f>IFERROR(__xludf.DUMMYFUNCTION("""COMPUTED_VALUE"""),3792.805)</f>
        <v>3792.805</v>
      </c>
      <c r="F42" s="17">
        <f>IFERROR(__xludf.DUMMYFUNCTION("""COMPUTED_VALUE"""),11007.599999999999)</f>
        <v>11007.6</v>
      </c>
      <c r="G42" s="17">
        <f>IFERROR(__xludf.DUMMYFUNCTION("""COMPUTED_VALUE"""),6203.610000000001)</f>
        <v>6203.61</v>
      </c>
      <c r="H42" s="17">
        <f>IFERROR(__xludf.DUMMYFUNCTION("""COMPUTED_VALUE"""),22837.29)</f>
        <v>22837.29</v>
      </c>
    </row>
    <row r="43">
      <c r="A43" s="18" t="str">
        <f>IFERROR(__xludf.DUMMYFUNCTION("""COMPUTED_VALUE"""),"ARKANSAS FCU")</f>
        <v>ARKANSAS FCU</v>
      </c>
      <c r="B43" s="16">
        <f>IFERROR(__xludf.DUMMYFUNCTION("""COMPUTED_VALUE"""),4.0)</f>
        <v>4</v>
      </c>
      <c r="C43" s="17">
        <f>IFERROR(__xludf.DUMMYFUNCTION("""COMPUTED_VALUE"""),926.06)</f>
        <v>926.06</v>
      </c>
      <c r="D43" s="17">
        <f>IFERROR(__xludf.DUMMYFUNCTION("""COMPUTED_VALUE"""),3704.23)</f>
        <v>3704.23</v>
      </c>
      <c r="E43" s="17">
        <f>IFERROR(__xludf.DUMMYFUNCTION("""COMPUTED_VALUE"""),1786.83)</f>
        <v>1786.83</v>
      </c>
      <c r="F43" s="17">
        <f>IFERROR(__xludf.DUMMYFUNCTION("""COMPUTED_VALUE"""),7147.3)</f>
        <v>7147.3</v>
      </c>
      <c r="G43" s="17">
        <f>IFERROR(__xludf.DUMMYFUNCTION("""COMPUTED_VALUE"""),2712.88)</f>
        <v>2712.88</v>
      </c>
      <c r="H43" s="17">
        <f>IFERROR(__xludf.DUMMYFUNCTION("""COMPUTED_VALUE"""),10851.53)</f>
        <v>10851.53</v>
      </c>
    </row>
    <row r="44">
      <c r="A44" s="18" t="str">
        <f>IFERROR(__xludf.DUMMYFUNCTION("""COMPUTED_VALUE"""),"WEOKIE FCU")</f>
        <v>WEOKIE FCU</v>
      </c>
      <c r="B44" s="16">
        <f>IFERROR(__xludf.DUMMYFUNCTION("""COMPUTED_VALUE"""),3.0)</f>
        <v>3</v>
      </c>
      <c r="C44" s="17">
        <f>IFERROR(__xludf.DUMMYFUNCTION("""COMPUTED_VALUE"""),527.33)</f>
        <v>527.33</v>
      </c>
      <c r="D44" s="17">
        <f>IFERROR(__xludf.DUMMYFUNCTION("""COMPUTED_VALUE"""),1581.99)</f>
        <v>1581.99</v>
      </c>
      <c r="E44" s="17">
        <f>IFERROR(__xludf.DUMMYFUNCTION("""COMPUTED_VALUE"""),2691.42)</f>
        <v>2691.42</v>
      </c>
      <c r="F44" s="17">
        <f>IFERROR(__xludf.DUMMYFUNCTION("""COMPUTED_VALUE"""),8074.26)</f>
        <v>8074.26</v>
      </c>
      <c r="G44" s="17">
        <f>IFERROR(__xludf.DUMMYFUNCTION("""COMPUTED_VALUE"""),3218.75)</f>
        <v>3218.75</v>
      </c>
      <c r="H44" s="17">
        <f>IFERROR(__xludf.DUMMYFUNCTION("""COMPUTED_VALUE"""),9656.25)</f>
        <v>9656.25</v>
      </c>
    </row>
    <row r="45">
      <c r="A45" s="18" t="str">
        <f>IFERROR(__xludf.DUMMYFUNCTION("""COMPUTED_VALUE"""),"SKYWARD CU")</f>
        <v>SKYWARD CU</v>
      </c>
      <c r="B45" s="16">
        <f>IFERROR(__xludf.DUMMYFUNCTION("""COMPUTED_VALUE"""),3.0)</f>
        <v>3</v>
      </c>
      <c r="C45" s="17">
        <f>IFERROR(__xludf.DUMMYFUNCTION("""COMPUTED_VALUE"""),-1207.26)</f>
        <v>-1207.26</v>
      </c>
      <c r="D45" s="17">
        <f>IFERROR(__xludf.DUMMYFUNCTION("""COMPUTED_VALUE"""),-3621.78)</f>
        <v>-3621.78</v>
      </c>
      <c r="E45" s="17">
        <f>IFERROR(__xludf.DUMMYFUNCTION("""COMPUTED_VALUE"""),850.35)</f>
        <v>850.35</v>
      </c>
      <c r="F45" s="17">
        <f>IFERROR(__xludf.DUMMYFUNCTION("""COMPUTED_VALUE"""),2551.05)</f>
        <v>2551.05</v>
      </c>
      <c r="G45" s="17">
        <f>IFERROR(__xludf.DUMMYFUNCTION("""COMPUTED_VALUE"""),-356.91)</f>
        <v>-356.91</v>
      </c>
      <c r="H45" s="17">
        <f>IFERROR(__xludf.DUMMYFUNCTION("""COMPUTED_VALUE"""),-1070.73)</f>
        <v>-1070.73</v>
      </c>
    </row>
    <row r="46">
      <c r="A46" s="18" t="str">
        <f>IFERROR(__xludf.DUMMYFUNCTION("""COMPUTED_VALUE"""),"SAFCO")</f>
        <v>SAFCO</v>
      </c>
      <c r="B46" s="16">
        <f>IFERROR(__xludf.DUMMYFUNCTION("""COMPUTED_VALUE"""),3.0)</f>
        <v>3</v>
      </c>
      <c r="C46" s="17">
        <f>IFERROR(__xludf.DUMMYFUNCTION("""COMPUTED_VALUE"""),1723.55)</f>
        <v>1723.55</v>
      </c>
      <c r="D46" s="17">
        <f>IFERROR(__xludf.DUMMYFUNCTION("""COMPUTED_VALUE"""),5170.66)</f>
        <v>5170.66</v>
      </c>
      <c r="E46" s="17">
        <f>IFERROR(__xludf.DUMMYFUNCTION("""COMPUTED_VALUE"""),2812.33)</f>
        <v>2812.33</v>
      </c>
      <c r="F46" s="17">
        <f>IFERROR(__xludf.DUMMYFUNCTION("""COMPUTED_VALUE"""),8437.0)</f>
        <v>8437</v>
      </c>
      <c r="G46" s="17">
        <f>IFERROR(__xludf.DUMMYFUNCTION("""COMPUTED_VALUE"""),4535.89)</f>
        <v>4535.89</v>
      </c>
      <c r="H46" s="17">
        <f>IFERROR(__xludf.DUMMYFUNCTION("""COMPUTED_VALUE"""),13607.66)</f>
        <v>13607.66</v>
      </c>
    </row>
    <row r="47">
      <c r="A47" s="18" t="str">
        <f>IFERROR(__xludf.DUMMYFUNCTION("""COMPUTED_VALUE"""),"CAL-COM FCU")</f>
        <v>CAL-COM FCU</v>
      </c>
      <c r="B47" s="16">
        <f>IFERROR(__xludf.DUMMYFUNCTION("""COMPUTED_VALUE"""),3.0)</f>
        <v>3</v>
      </c>
      <c r="C47" s="17">
        <f>IFERROR(__xludf.DUMMYFUNCTION("""COMPUTED_VALUE"""),-1575.59)</f>
        <v>-1575.59</v>
      </c>
      <c r="D47" s="17">
        <f>IFERROR(__xludf.DUMMYFUNCTION("""COMPUTED_VALUE"""),-4726.76)</f>
        <v>-4726.76</v>
      </c>
      <c r="E47" s="17">
        <f>IFERROR(__xludf.DUMMYFUNCTION("""COMPUTED_VALUE"""),3714.43)</f>
        <v>3714.43</v>
      </c>
      <c r="F47" s="17">
        <f>IFERROR(__xludf.DUMMYFUNCTION("""COMPUTED_VALUE"""),11143.28)</f>
        <v>11143.28</v>
      </c>
      <c r="G47" s="17">
        <f>IFERROR(__xludf.DUMMYFUNCTION("""COMPUTED_VALUE"""),2138.84)</f>
        <v>2138.84</v>
      </c>
      <c r="H47" s="17">
        <f>IFERROR(__xludf.DUMMYFUNCTION("""COMPUTED_VALUE"""),6416.52)</f>
        <v>6416.52</v>
      </c>
    </row>
    <row r="48">
      <c r="A48" s="18" t="str">
        <f>IFERROR(__xludf.DUMMYFUNCTION("""COMPUTED_VALUE"""),"US EMPLOYEES OC FCU")</f>
        <v>US EMPLOYEES OC FCU</v>
      </c>
      <c r="B48" s="16">
        <f>IFERROR(__xludf.DUMMYFUNCTION("""COMPUTED_VALUE"""),2.0)</f>
        <v>2</v>
      </c>
      <c r="C48" s="17">
        <f>IFERROR(__xludf.DUMMYFUNCTION("""COMPUTED_VALUE"""),540.31)</f>
        <v>540.31</v>
      </c>
      <c r="D48" s="17">
        <f>IFERROR(__xludf.DUMMYFUNCTION("""COMPUTED_VALUE"""),1080.62)</f>
        <v>1080.62</v>
      </c>
      <c r="E48" s="17">
        <f>IFERROR(__xludf.DUMMYFUNCTION("""COMPUTED_VALUE"""),489.16)</f>
        <v>489.16</v>
      </c>
      <c r="F48" s="17">
        <f>IFERROR(__xludf.DUMMYFUNCTION("""COMPUTED_VALUE"""),978.32)</f>
        <v>978.32</v>
      </c>
      <c r="G48" s="17">
        <f>IFERROR(__xludf.DUMMYFUNCTION("""COMPUTED_VALUE"""),1029.47)</f>
        <v>1029.47</v>
      </c>
      <c r="H48" s="17">
        <f>IFERROR(__xludf.DUMMYFUNCTION("""COMPUTED_VALUE"""),2058.94)</f>
        <v>2058.94</v>
      </c>
    </row>
    <row r="49">
      <c r="A49" s="18" t="str">
        <f>IFERROR(__xludf.DUMMYFUNCTION("""COMPUTED_VALUE"""),"TULSA TEACHERS FCU")</f>
        <v>TULSA TEACHERS FCU</v>
      </c>
      <c r="B49" s="16">
        <f>IFERROR(__xludf.DUMMYFUNCTION("""COMPUTED_VALUE"""),2.0)</f>
        <v>2</v>
      </c>
      <c r="C49" s="17">
        <f>IFERROR(__xludf.DUMMYFUNCTION("""COMPUTED_VALUE"""),1272.45)</f>
        <v>1272.45</v>
      </c>
      <c r="D49" s="17">
        <f>IFERROR(__xludf.DUMMYFUNCTION("""COMPUTED_VALUE"""),2544.9)</f>
        <v>2544.9</v>
      </c>
      <c r="E49" s="17">
        <f>IFERROR(__xludf.DUMMYFUNCTION("""COMPUTED_VALUE"""),1985.46)</f>
        <v>1985.46</v>
      </c>
      <c r="F49" s="17">
        <f>IFERROR(__xludf.DUMMYFUNCTION("""COMPUTED_VALUE"""),3970.92)</f>
        <v>3970.92</v>
      </c>
      <c r="G49" s="17">
        <f>IFERROR(__xludf.DUMMYFUNCTION("""COMPUTED_VALUE"""),3257.91)</f>
        <v>3257.91</v>
      </c>
      <c r="H49" s="17">
        <f>IFERROR(__xludf.DUMMYFUNCTION("""COMPUTED_VALUE"""),6515.82)</f>
        <v>6515.82</v>
      </c>
    </row>
    <row r="50">
      <c r="A50" s="18" t="str">
        <f>IFERROR(__xludf.DUMMYFUNCTION("""COMPUTED_VALUE"""),"TEXOMA COMMUNITY CU")</f>
        <v>TEXOMA COMMUNITY CU</v>
      </c>
      <c r="B50" s="16">
        <f>IFERROR(__xludf.DUMMYFUNCTION("""COMPUTED_VALUE"""),2.0)</f>
        <v>2</v>
      </c>
      <c r="C50" s="17">
        <f>IFERROR(__xludf.DUMMYFUNCTION("""COMPUTED_VALUE"""),-2113.57)</f>
        <v>-2113.57</v>
      </c>
      <c r="D50" s="17">
        <f>IFERROR(__xludf.DUMMYFUNCTION("""COMPUTED_VALUE"""),-4227.14)</f>
        <v>-4227.14</v>
      </c>
      <c r="E50" s="17">
        <f>IFERROR(__xludf.DUMMYFUNCTION("""COMPUTED_VALUE"""),3919.4)</f>
        <v>3919.4</v>
      </c>
      <c r="F50" s="17">
        <f>IFERROR(__xludf.DUMMYFUNCTION("""COMPUTED_VALUE"""),7838.8)</f>
        <v>7838.8</v>
      </c>
      <c r="G50" s="17">
        <f>IFERROR(__xludf.DUMMYFUNCTION("""COMPUTED_VALUE"""),1805.83)</f>
        <v>1805.83</v>
      </c>
      <c r="H50" s="17">
        <f>IFERROR(__xludf.DUMMYFUNCTION("""COMPUTED_VALUE"""),3611.66)</f>
        <v>3611.66</v>
      </c>
    </row>
    <row r="51">
      <c r="A51" s="18" t="str">
        <f>IFERROR(__xludf.DUMMYFUNCTION("""COMPUTED_VALUE"""),"TEXAS DOW EMPLOYEES CU")</f>
        <v>TEXAS DOW EMPLOYEES CU</v>
      </c>
      <c r="B51" s="16">
        <f>IFERROR(__xludf.DUMMYFUNCTION("""COMPUTED_VALUE"""),2.0)</f>
        <v>2</v>
      </c>
      <c r="C51" s="17">
        <f>IFERROR(__xludf.DUMMYFUNCTION("""COMPUTED_VALUE"""),1627.5)</f>
        <v>1627.5</v>
      </c>
      <c r="D51" s="17">
        <f>IFERROR(__xludf.DUMMYFUNCTION("""COMPUTED_VALUE"""),3255.0)</f>
        <v>3255</v>
      </c>
      <c r="E51" s="17">
        <f>IFERROR(__xludf.DUMMYFUNCTION("""COMPUTED_VALUE"""),4102.98)</f>
        <v>4102.98</v>
      </c>
      <c r="F51" s="17">
        <f>IFERROR(__xludf.DUMMYFUNCTION("""COMPUTED_VALUE"""),8205.96)</f>
        <v>8205.96</v>
      </c>
      <c r="G51" s="17">
        <f>IFERROR(__xludf.DUMMYFUNCTION("""COMPUTED_VALUE"""),5730.48)</f>
        <v>5730.48</v>
      </c>
      <c r="H51" s="17">
        <f>IFERROR(__xludf.DUMMYFUNCTION("""COMPUTED_VALUE"""),11460.96)</f>
        <v>11460.96</v>
      </c>
    </row>
    <row r="52">
      <c r="A52" s="18" t="str">
        <f>IFERROR(__xludf.DUMMYFUNCTION("""COMPUTED_VALUE"""),"FLAGSHIP CREDIT ACCEPTANCE")</f>
        <v>FLAGSHIP CREDIT ACCEPTANCE</v>
      </c>
      <c r="B52" s="16">
        <f>IFERROR(__xludf.DUMMYFUNCTION("""COMPUTED_VALUE"""),2.0)</f>
        <v>2</v>
      </c>
      <c r="C52" s="17">
        <f>IFERROR(__xludf.DUMMYFUNCTION("""COMPUTED_VALUE"""),3021.95)</f>
        <v>3021.95</v>
      </c>
      <c r="D52" s="17">
        <f>IFERROR(__xludf.DUMMYFUNCTION("""COMPUTED_VALUE"""),6043.89)</f>
        <v>6043.89</v>
      </c>
      <c r="E52" s="17">
        <f>IFERROR(__xludf.DUMMYFUNCTION("""COMPUTED_VALUE"""),255.73)</f>
        <v>255.73</v>
      </c>
      <c r="F52" s="17">
        <f>IFERROR(__xludf.DUMMYFUNCTION("""COMPUTED_VALUE"""),511.45)</f>
        <v>511.45</v>
      </c>
      <c r="G52" s="17">
        <f>IFERROR(__xludf.DUMMYFUNCTION("""COMPUTED_VALUE"""),3277.67)</f>
        <v>3277.67</v>
      </c>
      <c r="H52" s="17">
        <f>IFERROR(__xludf.DUMMYFUNCTION("""COMPUTED_VALUE"""),6555.34)</f>
        <v>6555.34</v>
      </c>
    </row>
    <row r="53">
      <c r="A53" s="18" t="str">
        <f>IFERROR(__xludf.DUMMYFUNCTION("""COMPUTED_VALUE"""),"FIRST HELP FINANCIAL")</f>
        <v>FIRST HELP FINANCIAL</v>
      </c>
      <c r="B53" s="16">
        <f>IFERROR(__xludf.DUMMYFUNCTION("""COMPUTED_VALUE"""),2.0)</f>
        <v>2</v>
      </c>
      <c r="C53" s="17">
        <f>IFERROR(__xludf.DUMMYFUNCTION("""COMPUTED_VALUE"""),-239.79999999999995)</f>
        <v>-239.8</v>
      </c>
      <c r="D53" s="17">
        <f>IFERROR(__xludf.DUMMYFUNCTION("""COMPUTED_VALUE"""),-479.5999999999999)</f>
        <v>-479.6</v>
      </c>
      <c r="E53" s="17">
        <f>IFERROR(__xludf.DUMMYFUNCTION("""COMPUTED_VALUE"""),1694.5)</f>
        <v>1694.5</v>
      </c>
      <c r="F53" s="17">
        <f>IFERROR(__xludf.DUMMYFUNCTION("""COMPUTED_VALUE"""),3389.0)</f>
        <v>3389</v>
      </c>
      <c r="G53" s="17">
        <f>IFERROR(__xludf.DUMMYFUNCTION("""COMPUTED_VALUE"""),1454.7)</f>
        <v>1454.7</v>
      </c>
      <c r="H53" s="17">
        <f>IFERROR(__xludf.DUMMYFUNCTION("""COMPUTED_VALUE"""),2909.4)</f>
        <v>2909.4</v>
      </c>
    </row>
    <row r="54">
      <c r="A54" s="18" t="str">
        <f>IFERROR(__xludf.DUMMYFUNCTION("""COMPUTED_VALUE"""),"FIRST FINANCIAL BANK")</f>
        <v>FIRST FINANCIAL BANK</v>
      </c>
      <c r="B54" s="16">
        <f>IFERROR(__xludf.DUMMYFUNCTION("""COMPUTED_VALUE"""),2.0)</f>
        <v>2</v>
      </c>
      <c r="C54" s="17">
        <f>IFERROR(__xludf.DUMMYFUNCTION("""COMPUTED_VALUE"""),350.4)</f>
        <v>350.4</v>
      </c>
      <c r="D54" s="17">
        <f>IFERROR(__xludf.DUMMYFUNCTION("""COMPUTED_VALUE"""),700.8)</f>
        <v>700.8</v>
      </c>
      <c r="E54" s="17">
        <f>IFERROR(__xludf.DUMMYFUNCTION("""COMPUTED_VALUE"""),1355.76)</f>
        <v>1355.76</v>
      </c>
      <c r="F54" s="17">
        <f>IFERROR(__xludf.DUMMYFUNCTION("""COMPUTED_VALUE"""),2711.52)</f>
        <v>2711.52</v>
      </c>
      <c r="G54" s="17">
        <f>IFERROR(__xludf.DUMMYFUNCTION("""COMPUTED_VALUE"""),1706.16)</f>
        <v>1706.16</v>
      </c>
      <c r="H54" s="17">
        <f>IFERROR(__xludf.DUMMYFUNCTION("""COMPUTED_VALUE"""),3412.32)</f>
        <v>3412.32</v>
      </c>
    </row>
    <row r="55">
      <c r="A55" s="18" t="str">
        <f>IFERROR(__xludf.DUMMYFUNCTION("""COMPUTED_VALUE"""),"FINANCE POINT")</f>
        <v>FINANCE POINT</v>
      </c>
      <c r="B55" s="16">
        <f>IFERROR(__xludf.DUMMYFUNCTION("""COMPUTED_VALUE"""),2.0)</f>
        <v>2</v>
      </c>
      <c r="C55" s="17">
        <f>IFERROR(__xludf.DUMMYFUNCTION("""COMPUTED_VALUE"""),3503.26)</f>
        <v>3503.26</v>
      </c>
      <c r="D55" s="17">
        <f>IFERROR(__xludf.DUMMYFUNCTION("""COMPUTED_VALUE"""),7006.52)</f>
        <v>7006.52</v>
      </c>
      <c r="E55" s="17">
        <f>IFERROR(__xludf.DUMMYFUNCTION("""COMPUTED_VALUE"""),1176.5)</f>
        <v>1176.5</v>
      </c>
      <c r="F55" s="17">
        <f>IFERROR(__xludf.DUMMYFUNCTION("""COMPUTED_VALUE"""),2353.0)</f>
        <v>2353</v>
      </c>
      <c r="G55" s="17">
        <f>IFERROR(__xludf.DUMMYFUNCTION("""COMPUTED_VALUE"""),4679.76)</f>
        <v>4679.76</v>
      </c>
      <c r="H55" s="17">
        <f>IFERROR(__xludf.DUMMYFUNCTION("""COMPUTED_VALUE"""),9359.52)</f>
        <v>9359.52</v>
      </c>
    </row>
    <row r="56">
      <c r="A56" s="18" t="str">
        <f>IFERROR(__xludf.DUMMYFUNCTION("""COMPUTED_VALUE"""),"WICHITA FALLS TEACHERS FCU")</f>
        <v>WICHITA FALLS TEACHERS FCU</v>
      </c>
      <c r="B56" s="16">
        <f>IFERROR(__xludf.DUMMYFUNCTION("""COMPUTED_VALUE"""),1.0)</f>
        <v>1</v>
      </c>
      <c r="C56" s="17">
        <f>IFERROR(__xludf.DUMMYFUNCTION("""COMPUTED_VALUE"""),-1152.0)</f>
        <v>-1152</v>
      </c>
      <c r="D56" s="17">
        <f>IFERROR(__xludf.DUMMYFUNCTION("""COMPUTED_VALUE"""),-1152.0)</f>
        <v>-1152</v>
      </c>
      <c r="E56" s="17">
        <f>IFERROR(__xludf.DUMMYFUNCTION("""COMPUTED_VALUE"""),3095.92)</f>
        <v>3095.92</v>
      </c>
      <c r="F56" s="17">
        <f>IFERROR(__xludf.DUMMYFUNCTION("""COMPUTED_VALUE"""),3095.92)</f>
        <v>3095.92</v>
      </c>
      <c r="G56" s="17">
        <f>IFERROR(__xludf.DUMMYFUNCTION("""COMPUTED_VALUE"""),1943.92)</f>
        <v>1943.92</v>
      </c>
      <c r="H56" s="17">
        <f>IFERROR(__xludf.DUMMYFUNCTION("""COMPUTED_VALUE"""),1943.92)</f>
        <v>1943.92</v>
      </c>
    </row>
    <row r="57">
      <c r="A57" s="18" t="str">
        <f>IFERROR(__xludf.DUMMYFUNCTION("""COMPUTED_VALUE"""),"US BANK")</f>
        <v>US BANK</v>
      </c>
      <c r="B57" s="16">
        <f>IFERROR(__xludf.DUMMYFUNCTION("""COMPUTED_VALUE"""),1.0)</f>
        <v>1</v>
      </c>
      <c r="C57" s="17">
        <f>IFERROR(__xludf.DUMMYFUNCTION("""COMPUTED_VALUE"""),-753.49)</f>
        <v>-753.49</v>
      </c>
      <c r="D57" s="17">
        <f>IFERROR(__xludf.DUMMYFUNCTION("""COMPUTED_VALUE"""),-753.49)</f>
        <v>-753.49</v>
      </c>
      <c r="E57" s="17">
        <f>IFERROR(__xludf.DUMMYFUNCTION("""COMPUTED_VALUE"""),1603.27)</f>
        <v>1603.27</v>
      </c>
      <c r="F57" s="17">
        <f>IFERROR(__xludf.DUMMYFUNCTION("""COMPUTED_VALUE"""),1603.27)</f>
        <v>1603.27</v>
      </c>
      <c r="G57" s="17">
        <f>IFERROR(__xludf.DUMMYFUNCTION("""COMPUTED_VALUE"""),849.78)</f>
        <v>849.78</v>
      </c>
      <c r="H57" s="17">
        <f>IFERROR(__xludf.DUMMYFUNCTION("""COMPUTED_VALUE"""),849.78)</f>
        <v>849.78</v>
      </c>
    </row>
    <row r="58">
      <c r="A58" s="18" t="str">
        <f>IFERROR(__xludf.DUMMYFUNCTION("""COMPUTED_VALUE"""),"TRUE SKY CU")</f>
        <v>TRUE SKY CU</v>
      </c>
      <c r="B58" s="16">
        <f>IFERROR(__xludf.DUMMYFUNCTION("""COMPUTED_VALUE"""),1.0)</f>
        <v>1</v>
      </c>
      <c r="C58" s="17">
        <f>IFERROR(__xludf.DUMMYFUNCTION("""COMPUTED_VALUE"""),3072.13)</f>
        <v>3072.13</v>
      </c>
      <c r="D58" s="17">
        <f>IFERROR(__xludf.DUMMYFUNCTION("""COMPUTED_VALUE"""),3072.13)</f>
        <v>3072.13</v>
      </c>
      <c r="E58" s="17">
        <f>IFERROR(__xludf.DUMMYFUNCTION("""COMPUTED_VALUE"""),5023.47)</f>
        <v>5023.47</v>
      </c>
      <c r="F58" s="17">
        <f>IFERROR(__xludf.DUMMYFUNCTION("""COMPUTED_VALUE"""),5023.47)</f>
        <v>5023.47</v>
      </c>
      <c r="G58" s="17">
        <f>IFERROR(__xludf.DUMMYFUNCTION("""COMPUTED_VALUE"""),8095.6)</f>
        <v>8095.6</v>
      </c>
      <c r="H58" s="17">
        <f>IFERROR(__xludf.DUMMYFUNCTION("""COMPUTED_VALUE"""),8095.6)</f>
        <v>8095.6</v>
      </c>
    </row>
    <row r="59">
      <c r="A59" s="18" t="str">
        <f>IFERROR(__xludf.DUMMYFUNCTION("""COMPUTED_VALUE"""),"OKLAHOMA'S CU")</f>
        <v>OKLAHOMA'S CU</v>
      </c>
      <c r="B59" s="16">
        <f>IFERROR(__xludf.DUMMYFUNCTION("""COMPUTED_VALUE"""),1.0)</f>
        <v>1</v>
      </c>
      <c r="C59" s="17">
        <f>IFERROR(__xludf.DUMMYFUNCTION("""COMPUTED_VALUE"""),-322.65)</f>
        <v>-322.65</v>
      </c>
      <c r="D59" s="17">
        <f>IFERROR(__xludf.DUMMYFUNCTION("""COMPUTED_VALUE"""),-322.65)</f>
        <v>-322.65</v>
      </c>
      <c r="E59" s="17">
        <f>IFERROR(__xludf.DUMMYFUNCTION("""COMPUTED_VALUE"""),367.93)</f>
        <v>367.93</v>
      </c>
      <c r="F59" s="17">
        <f>IFERROR(__xludf.DUMMYFUNCTION("""COMPUTED_VALUE"""),367.93)</f>
        <v>367.93</v>
      </c>
      <c r="G59" s="17">
        <f>IFERROR(__xludf.DUMMYFUNCTION("""COMPUTED_VALUE"""),45.28)</f>
        <v>45.28</v>
      </c>
      <c r="H59" s="17">
        <f>IFERROR(__xludf.DUMMYFUNCTION("""COMPUTED_VALUE"""),45.28)</f>
        <v>45.28</v>
      </c>
    </row>
    <row r="60">
      <c r="A60" s="18" t="str">
        <f>IFERROR(__xludf.DUMMYFUNCTION("""COMPUTED_VALUE"""),"OKLAHOMA EDUCATORS CU")</f>
        <v>OKLAHOMA EDUCATORS CU</v>
      </c>
      <c r="B60" s="16">
        <f>IFERROR(__xludf.DUMMYFUNCTION("""COMPUTED_VALUE"""),1.0)</f>
        <v>1</v>
      </c>
      <c r="C60" s="17">
        <f>IFERROR(__xludf.DUMMYFUNCTION("""COMPUTED_VALUE"""),1121.13)</f>
        <v>1121.13</v>
      </c>
      <c r="D60" s="17">
        <f>IFERROR(__xludf.DUMMYFUNCTION("""COMPUTED_VALUE"""),1121.13)</f>
        <v>1121.13</v>
      </c>
      <c r="E60" s="17">
        <f>IFERROR(__xludf.DUMMYFUNCTION("""COMPUTED_VALUE"""),237.95)</f>
        <v>237.95</v>
      </c>
      <c r="F60" s="17">
        <f>IFERROR(__xludf.DUMMYFUNCTION("""COMPUTED_VALUE"""),237.95)</f>
        <v>237.95</v>
      </c>
      <c r="G60" s="17">
        <f>IFERROR(__xludf.DUMMYFUNCTION("""COMPUTED_VALUE"""),1359.08)</f>
        <v>1359.08</v>
      </c>
      <c r="H60" s="17">
        <f>IFERROR(__xludf.DUMMYFUNCTION("""COMPUTED_VALUE"""),1359.08)</f>
        <v>1359.08</v>
      </c>
    </row>
    <row r="61">
      <c r="A61" s="18" t="str">
        <f>IFERROR(__xludf.DUMMYFUNCTION("""COMPUTED_VALUE"""),"KELLY COMMUNITY FCU")</f>
        <v>KELLY COMMUNITY FCU</v>
      </c>
      <c r="B61" s="16">
        <f>IFERROR(__xludf.DUMMYFUNCTION("""COMPUTED_VALUE"""),1.0)</f>
        <v>1</v>
      </c>
      <c r="C61" s="17">
        <f>IFERROR(__xludf.DUMMYFUNCTION("""COMPUTED_VALUE"""),-1341.25)</f>
        <v>-1341.25</v>
      </c>
      <c r="D61" s="17">
        <f>IFERROR(__xludf.DUMMYFUNCTION("""COMPUTED_VALUE"""),-1341.25)</f>
        <v>-1341.25</v>
      </c>
      <c r="E61" s="17">
        <f>IFERROR(__xludf.DUMMYFUNCTION("""COMPUTED_VALUE"""),0.0)</f>
        <v>0</v>
      </c>
      <c r="F61" s="17">
        <f>IFERROR(__xludf.DUMMYFUNCTION("""COMPUTED_VALUE"""),0.0)</f>
        <v>0</v>
      </c>
      <c r="G61" s="17">
        <f>IFERROR(__xludf.DUMMYFUNCTION("""COMPUTED_VALUE"""),-1341.25)</f>
        <v>-1341.25</v>
      </c>
      <c r="H61" s="17">
        <f>IFERROR(__xludf.DUMMYFUNCTION("""COMPUTED_VALUE"""),-1341.25)</f>
        <v>-1341.25</v>
      </c>
    </row>
    <row r="62">
      <c r="A62" s="18" t="str">
        <f>IFERROR(__xludf.DUMMYFUNCTION("""COMPUTED_VALUE"""),"EXTRACO BANKS, N.A.")</f>
        <v>EXTRACO BANKS, N.A.</v>
      </c>
      <c r="B62" s="16">
        <f>IFERROR(__xludf.DUMMYFUNCTION("""COMPUTED_VALUE"""),1.0)</f>
        <v>1</v>
      </c>
      <c r="C62" s="17">
        <f>IFERROR(__xludf.DUMMYFUNCTION("""COMPUTED_VALUE"""),1651.89)</f>
        <v>1651.89</v>
      </c>
      <c r="D62" s="17">
        <f>IFERROR(__xludf.DUMMYFUNCTION("""COMPUTED_VALUE"""),1651.89)</f>
        <v>1651.89</v>
      </c>
      <c r="E62" s="17">
        <f>IFERROR(__xludf.DUMMYFUNCTION("""COMPUTED_VALUE"""),816.5)</f>
        <v>816.5</v>
      </c>
      <c r="F62" s="17">
        <f>IFERROR(__xludf.DUMMYFUNCTION("""COMPUTED_VALUE"""),816.5)</f>
        <v>816.5</v>
      </c>
      <c r="G62" s="17">
        <f>IFERROR(__xludf.DUMMYFUNCTION("""COMPUTED_VALUE"""),2468.39)</f>
        <v>2468.39</v>
      </c>
      <c r="H62" s="17">
        <f>IFERROR(__xludf.DUMMYFUNCTION("""COMPUTED_VALUE"""),2468.39)</f>
        <v>2468.39</v>
      </c>
    </row>
    <row r="63">
      <c r="A63" s="18" t="str">
        <f>IFERROR(__xludf.DUMMYFUNCTION("""COMPUTED_VALUE"""),"EDUCATORS CU")</f>
        <v>EDUCATORS CU</v>
      </c>
      <c r="B63" s="16">
        <f>IFERROR(__xludf.DUMMYFUNCTION("""COMPUTED_VALUE"""),1.0)</f>
        <v>1</v>
      </c>
      <c r="C63" s="17">
        <f>IFERROR(__xludf.DUMMYFUNCTION("""COMPUTED_VALUE"""),-889.87)</f>
        <v>-889.87</v>
      </c>
      <c r="D63" s="17">
        <f>IFERROR(__xludf.DUMMYFUNCTION("""COMPUTED_VALUE"""),-889.87)</f>
        <v>-889.87</v>
      </c>
      <c r="E63" s="17">
        <f>IFERROR(__xludf.DUMMYFUNCTION("""COMPUTED_VALUE"""),892.27)</f>
        <v>892.27</v>
      </c>
      <c r="F63" s="17">
        <f>IFERROR(__xludf.DUMMYFUNCTION("""COMPUTED_VALUE"""),892.27)</f>
        <v>892.27</v>
      </c>
      <c r="G63" s="17">
        <f>IFERROR(__xludf.DUMMYFUNCTION("""COMPUTED_VALUE"""),2.4)</f>
        <v>2.4</v>
      </c>
      <c r="H63" s="17">
        <f>IFERROR(__xludf.DUMMYFUNCTION("""COMPUTED_VALUE"""),2.4)</f>
        <v>2.4</v>
      </c>
    </row>
    <row r="64">
      <c r="A64" s="18" t="str">
        <f>IFERROR(__xludf.DUMMYFUNCTION("""COMPUTED_VALUE"""),"DATCU")</f>
        <v>DATCU</v>
      </c>
      <c r="B64" s="16">
        <f>IFERROR(__xludf.DUMMYFUNCTION("""COMPUTED_VALUE"""),1.0)</f>
        <v>1</v>
      </c>
      <c r="C64" s="17">
        <f>IFERROR(__xludf.DUMMYFUNCTION("""COMPUTED_VALUE"""),1093.93)</f>
        <v>1093.93</v>
      </c>
      <c r="D64" s="17">
        <f>IFERROR(__xludf.DUMMYFUNCTION("""COMPUTED_VALUE"""),1093.93)</f>
        <v>1093.93</v>
      </c>
      <c r="E64" s="17">
        <f>IFERROR(__xludf.DUMMYFUNCTION("""COMPUTED_VALUE"""),2512.0)</f>
        <v>2512</v>
      </c>
      <c r="F64" s="17">
        <f>IFERROR(__xludf.DUMMYFUNCTION("""COMPUTED_VALUE"""),2512.0)</f>
        <v>2512</v>
      </c>
      <c r="G64" s="17">
        <f>IFERROR(__xludf.DUMMYFUNCTION("""COMPUTED_VALUE"""),3605.93)</f>
        <v>3605.93</v>
      </c>
      <c r="H64" s="17">
        <f>IFERROR(__xludf.DUMMYFUNCTION("""COMPUTED_VALUE"""),3605.93)</f>
        <v>3605.93</v>
      </c>
    </row>
    <row r="65">
      <c r="A65" s="18" t="str">
        <f>IFERROR(__xludf.DUMMYFUNCTION("""COMPUTED_VALUE"""),"CREDIT ACCEPTANCE CORPORATION")</f>
        <v>CREDIT ACCEPTANCE CORPORATION</v>
      </c>
      <c r="B65" s="16">
        <f>IFERROR(__xludf.DUMMYFUNCTION("""COMPUTED_VALUE"""),1.0)</f>
        <v>1</v>
      </c>
      <c r="C65" s="17">
        <f>IFERROR(__xludf.DUMMYFUNCTION("""COMPUTED_VALUE"""),1498.94)</f>
        <v>1498.94</v>
      </c>
      <c r="D65" s="17">
        <f>IFERROR(__xludf.DUMMYFUNCTION("""COMPUTED_VALUE"""),1498.94)</f>
        <v>1498.94</v>
      </c>
      <c r="E65" s="17">
        <f>IFERROR(__xludf.DUMMYFUNCTION("""COMPUTED_VALUE"""),0.0)</f>
        <v>0</v>
      </c>
      <c r="F65" s="17">
        <f>IFERROR(__xludf.DUMMYFUNCTION("""COMPUTED_VALUE"""),0.0)</f>
        <v>0</v>
      </c>
      <c r="G65" s="17">
        <f>IFERROR(__xludf.DUMMYFUNCTION("""COMPUTED_VALUE"""),1498.94)</f>
        <v>1498.94</v>
      </c>
      <c r="H65" s="17">
        <f>IFERROR(__xludf.DUMMYFUNCTION("""COMPUTED_VALUE"""),1498.94)</f>
        <v>1498.94</v>
      </c>
    </row>
    <row r="66">
      <c r="A66" s="18" t="str">
        <f>IFERROR(__xludf.DUMMYFUNCTION("""COMPUTED_VALUE"""),"CITY BANK")</f>
        <v>CITY BANK</v>
      </c>
      <c r="B66" s="16">
        <f>IFERROR(__xludf.DUMMYFUNCTION("""COMPUTED_VALUE"""),1.0)</f>
        <v>1</v>
      </c>
      <c r="C66" s="17">
        <f>IFERROR(__xludf.DUMMYFUNCTION("""COMPUTED_VALUE"""),276.17)</f>
        <v>276.17</v>
      </c>
      <c r="D66" s="17">
        <f>IFERROR(__xludf.DUMMYFUNCTION("""COMPUTED_VALUE"""),276.17)</f>
        <v>276.17</v>
      </c>
      <c r="E66" s="17">
        <f>IFERROR(__xludf.DUMMYFUNCTION("""COMPUTED_VALUE"""),1339.44)</f>
        <v>1339.44</v>
      </c>
      <c r="F66" s="17">
        <f>IFERROR(__xludf.DUMMYFUNCTION("""COMPUTED_VALUE"""),1339.44)</f>
        <v>1339.44</v>
      </c>
      <c r="G66" s="17">
        <f>IFERROR(__xludf.DUMMYFUNCTION("""COMPUTED_VALUE"""),1615.61)</f>
        <v>1615.61</v>
      </c>
      <c r="H66" s="17">
        <f>IFERROR(__xludf.DUMMYFUNCTION("""COMPUTED_VALUE"""),1615.61)</f>
        <v>1615.61</v>
      </c>
    </row>
    <row r="67">
      <c r="A67" s="18" t="str">
        <f>IFERROR(__xludf.DUMMYFUNCTION("""COMPUTED_VALUE"""),"CINCH AUTO FINANCE")</f>
        <v>CINCH AUTO FINANCE</v>
      </c>
      <c r="B67" s="16">
        <f>IFERROR(__xludf.DUMMYFUNCTION("""COMPUTED_VALUE"""),1.0)</f>
        <v>1</v>
      </c>
      <c r="C67" s="17">
        <f>IFERROR(__xludf.DUMMYFUNCTION("""COMPUTED_VALUE"""),24810.55)</f>
        <v>24810.55</v>
      </c>
      <c r="D67" s="17">
        <f>IFERROR(__xludf.DUMMYFUNCTION("""COMPUTED_VALUE"""),24810.55)</f>
        <v>24810.55</v>
      </c>
      <c r="E67" s="17">
        <f>IFERROR(__xludf.DUMMYFUNCTION("""COMPUTED_VALUE"""),7037.0)</f>
        <v>7037</v>
      </c>
      <c r="F67" s="17">
        <f>IFERROR(__xludf.DUMMYFUNCTION("""COMPUTED_VALUE"""),7037.0)</f>
        <v>7037</v>
      </c>
      <c r="G67" s="17">
        <f>IFERROR(__xludf.DUMMYFUNCTION("""COMPUTED_VALUE"""),31847.55)</f>
        <v>31847.55</v>
      </c>
      <c r="H67" s="17">
        <f>IFERROR(__xludf.DUMMYFUNCTION("""COMPUTED_VALUE"""),31847.55)</f>
        <v>31847.55</v>
      </c>
    </row>
    <row r="68">
      <c r="A68" s="18" t="str">
        <f>IFERROR(__xludf.DUMMYFUNCTION("""COMPUTED_VALUE"""),"AUSTIN BANK TEXAS ")</f>
        <v>AUSTIN BANK TEXAS </v>
      </c>
      <c r="B68" s="16">
        <f>IFERROR(__xludf.DUMMYFUNCTION("""COMPUTED_VALUE"""),1.0)</f>
        <v>1</v>
      </c>
      <c r="C68" s="17">
        <f>IFERROR(__xludf.DUMMYFUNCTION("""COMPUTED_VALUE"""),2067.0)</f>
        <v>2067</v>
      </c>
      <c r="D68" s="17">
        <f>IFERROR(__xludf.DUMMYFUNCTION("""COMPUTED_VALUE"""),2067.0)</f>
        <v>2067</v>
      </c>
      <c r="E68" s="17">
        <f>IFERROR(__xludf.DUMMYFUNCTION("""COMPUTED_VALUE"""),101.0)</f>
        <v>101</v>
      </c>
      <c r="F68" s="17">
        <f>IFERROR(__xludf.DUMMYFUNCTION("""COMPUTED_VALUE"""),101.0)</f>
        <v>101</v>
      </c>
      <c r="G68" s="17">
        <f>IFERROR(__xludf.DUMMYFUNCTION("""COMPUTED_VALUE"""),2168.0)</f>
        <v>2168</v>
      </c>
      <c r="H68" s="17">
        <f>IFERROR(__xludf.DUMMYFUNCTION("""COMPUTED_VALUE"""),2168.0)</f>
        <v>2168</v>
      </c>
    </row>
    <row r="69">
      <c r="A69" s="18" t="str">
        <f>IFERROR(__xludf.DUMMYFUNCTION("""COMPUTED_VALUE"""),"ARIVO ACCEPTANCE")</f>
        <v>ARIVO ACCEPTANCE</v>
      </c>
      <c r="B69" s="16">
        <f>IFERROR(__xludf.DUMMYFUNCTION("""COMPUTED_VALUE"""),1.0)</f>
        <v>1</v>
      </c>
      <c r="C69" s="17">
        <f>IFERROR(__xludf.DUMMYFUNCTION("""COMPUTED_VALUE"""),4688.91)</f>
        <v>4688.91</v>
      </c>
      <c r="D69" s="17">
        <f>IFERROR(__xludf.DUMMYFUNCTION("""COMPUTED_VALUE"""),4688.91)</f>
        <v>4688.91</v>
      </c>
      <c r="E69" s="17">
        <f>IFERROR(__xludf.DUMMYFUNCTION("""COMPUTED_VALUE"""),0.0)</f>
        <v>0</v>
      </c>
      <c r="F69" s="17">
        <f>IFERROR(__xludf.DUMMYFUNCTION("""COMPUTED_VALUE"""),0.0)</f>
        <v>0</v>
      </c>
      <c r="G69" s="17">
        <f>IFERROR(__xludf.DUMMYFUNCTION("""COMPUTED_VALUE"""),4688.91)</f>
        <v>4688.91</v>
      </c>
      <c r="H69" s="17">
        <f>IFERROR(__xludf.DUMMYFUNCTION("""COMPUTED_VALUE"""),4688.91)</f>
        <v>4688.91</v>
      </c>
    </row>
    <row r="70">
      <c r="A70" s="18" t="str">
        <f>IFERROR(__xludf.DUMMYFUNCTION("""COMPUTED_VALUE"""),"ADVANCIAL FCU")</f>
        <v>ADVANCIAL FCU</v>
      </c>
      <c r="B70" s="16">
        <f>IFERROR(__xludf.DUMMYFUNCTION("""COMPUTED_VALUE"""),1.0)</f>
        <v>1</v>
      </c>
      <c r="C70" s="17">
        <f>IFERROR(__xludf.DUMMYFUNCTION("""COMPUTED_VALUE"""),1164.43)</f>
        <v>1164.43</v>
      </c>
      <c r="D70" s="17">
        <f>IFERROR(__xludf.DUMMYFUNCTION("""COMPUTED_VALUE"""),1164.43)</f>
        <v>1164.43</v>
      </c>
      <c r="E70" s="17">
        <f>IFERROR(__xludf.DUMMYFUNCTION("""COMPUTED_VALUE"""),359.91)</f>
        <v>359.91</v>
      </c>
      <c r="F70" s="17">
        <f>IFERROR(__xludf.DUMMYFUNCTION("""COMPUTED_VALUE"""),359.91)</f>
        <v>359.91</v>
      </c>
      <c r="G70" s="17">
        <f>IFERROR(__xludf.DUMMYFUNCTION("""COMPUTED_VALUE"""),1524.34)</f>
        <v>1524.34</v>
      </c>
      <c r="H70" s="17">
        <f>IFERROR(__xludf.DUMMYFUNCTION("""COMPUTED_VALUE"""),1524.34)</f>
        <v>1524.34</v>
      </c>
    </row>
    <row r="71">
      <c r="A71" s="18"/>
      <c r="B71" s="19"/>
      <c r="C71" s="15"/>
      <c r="D71" s="15"/>
      <c r="E71" s="15"/>
      <c r="F71" s="15"/>
      <c r="G71" s="15"/>
      <c r="H71" s="15"/>
    </row>
    <row r="72">
      <c r="A72" s="18"/>
      <c r="B72" s="19"/>
      <c r="C72" s="15"/>
      <c r="D72" s="15"/>
      <c r="E72" s="15"/>
      <c r="F72" s="15"/>
      <c r="G72" s="15"/>
      <c r="H72" s="15"/>
    </row>
    <row r="73">
      <c r="A73" s="18"/>
      <c r="B73" s="19"/>
      <c r="C73" s="15"/>
      <c r="D73" s="15"/>
      <c r="E73" s="15"/>
      <c r="F73" s="15"/>
      <c r="G73" s="15"/>
      <c r="H73" s="15"/>
    </row>
    <row r="74">
      <c r="A74" s="18"/>
      <c r="B74" s="19"/>
      <c r="C74" s="15"/>
      <c r="D74" s="15"/>
      <c r="E74" s="15"/>
      <c r="F74" s="15"/>
      <c r="G74" s="15"/>
      <c r="H74" s="15"/>
    </row>
    <row r="75">
      <c r="A75" s="18"/>
      <c r="B75" s="19"/>
      <c r="C75" s="15"/>
      <c r="D75" s="15"/>
      <c r="E75" s="15"/>
      <c r="F75" s="15"/>
      <c r="G75" s="15"/>
      <c r="H75" s="15"/>
    </row>
    <row r="76">
      <c r="A76" s="18"/>
      <c r="B76" s="19"/>
      <c r="C76" s="15"/>
      <c r="D76" s="15"/>
      <c r="E76" s="15"/>
      <c r="F76" s="15"/>
      <c r="G76" s="15"/>
      <c r="H76" s="15"/>
    </row>
    <row r="77">
      <c r="A77" s="15"/>
      <c r="B77" s="19"/>
      <c r="C77" s="15"/>
      <c r="D77" s="15"/>
      <c r="E77" s="15"/>
      <c r="F77" s="15"/>
      <c r="G77" s="15"/>
      <c r="H77" s="15"/>
    </row>
    <row r="78">
      <c r="A78" s="15"/>
      <c r="B78" s="19"/>
      <c r="C78" s="15"/>
      <c r="D78" s="15"/>
      <c r="E78" s="15"/>
      <c r="F78" s="15"/>
      <c r="G78" s="15"/>
      <c r="H78" s="15"/>
    </row>
    <row r="79">
      <c r="A79" s="18"/>
      <c r="B79" s="19"/>
      <c r="C79" s="15"/>
      <c r="D79" s="15"/>
      <c r="E79" s="15"/>
      <c r="F79" s="15"/>
      <c r="G79" s="15"/>
      <c r="H79" s="15"/>
    </row>
    <row r="80">
      <c r="A80" s="18"/>
      <c r="B80" s="19"/>
      <c r="C80" s="15"/>
      <c r="D80" s="15"/>
      <c r="E80" s="15"/>
      <c r="F80" s="15"/>
      <c r="G80" s="15"/>
      <c r="H80" s="15"/>
    </row>
    <row r="81">
      <c r="A81" s="18"/>
      <c r="B81" s="19"/>
      <c r="C81" s="15"/>
      <c r="D81" s="15"/>
      <c r="E81" s="15"/>
      <c r="F81" s="15"/>
      <c r="G81" s="15"/>
      <c r="H81" s="15"/>
    </row>
    <row r="82">
      <c r="A82" s="18"/>
      <c r="B82" s="19"/>
      <c r="C82" s="15"/>
      <c r="D82" s="15"/>
      <c r="E82" s="15"/>
      <c r="F82" s="15"/>
      <c r="G82" s="15"/>
      <c r="H82" s="15"/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